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brzezinska\Desktop\Druki zamówień\AKTUALNE\DACHY\Sprawdzone\"/>
    </mc:Choice>
  </mc:AlternateContent>
  <workbookProtection workbookPassword="EF50" lockStructure="1"/>
  <bookViews>
    <workbookView xWindow="0" yWindow="0" windowWidth="23040" windowHeight="9195"/>
  </bookViews>
  <sheets>
    <sheet name="Dane podst. zamówienia" sheetId="16" r:id="rId1"/>
    <sheet name="ZAMÓWIENIE | WYCENA" sheetId="12" r:id="rId2"/>
    <sheet name="Specyfikacja" sheetId="13" r:id="rId3"/>
    <sheet name="Lista" sheetId="11" r:id="rId4"/>
    <sheet name="mapa" sheetId="17" state="hidden" r:id="rId5"/>
    <sheet name="Szacunek" sheetId="18" state="hidden" r:id="rId6"/>
  </sheets>
  <externalReferences>
    <externalReference r:id="rId7"/>
  </externalReferences>
  <definedNames>
    <definedName name="_xlnm._FilterDatabase" localSheetId="3" hidden="1">Lista!$W$2:$AE$230</definedName>
    <definedName name="_xlnm._FilterDatabase" localSheetId="4" hidden="1">mapa!$B$1:$I$61</definedName>
    <definedName name="Estym_Bud1">Szacunek!$C$41</definedName>
    <definedName name="IL_PIONÓW_SPUSTOWYCH">Szacunek!$B$18</definedName>
    <definedName name="IL_POŁACI">Szacunek!$B$8</definedName>
    <definedName name="MODUL">Szacunek!#REF!</definedName>
    <definedName name="MODUŁ">Szacunek!$F$3</definedName>
    <definedName name="Moduł_czy_Wymiar">[1]Kalkulator!$E$25</definedName>
    <definedName name="_xlnm.Print_Area" localSheetId="0">'Dane podst. zamówienia'!$A$1:$S$51</definedName>
    <definedName name="_xlnm.Print_Area" localSheetId="3">Lista!$A$1:$G$113</definedName>
    <definedName name="_xlnm.Print_Area" localSheetId="2">Specyfikacja!$A$1:$N$121</definedName>
    <definedName name="_xlnm.Print_Area" localSheetId="1">'ZAMÓWIENIE | WYCENA'!$B$1:$L$216</definedName>
    <definedName name="OKAP_WYKON">Szacunek!$B$11</definedName>
    <definedName name="PODBITKA_INNA">Szacunek!$H$3</definedName>
    <definedName name="PODBITKA_RĄBEK">Szacunek!$H$2</definedName>
    <definedName name="SZAC_PODKONSTR_ELEW">Szacunek!$C$15</definedName>
    <definedName name="SZER292">Szacunek!$C$24</definedName>
    <definedName name="SZER501">Szacunek!$C$23</definedName>
    <definedName name="TYP_BEZOKAPOWY">Szacunek!$K$3</definedName>
    <definedName name="TYP_DACHU">Szacunek!$B$14</definedName>
    <definedName name="TYP_OKAPOWY">Szacunek!$K$2</definedName>
    <definedName name="TYP_POKRYCIA">Szacunek!$B$10</definedName>
    <definedName name="_xlnm.Print_Titles" localSheetId="2">Specyfikacja!$1:$5</definedName>
    <definedName name="WYKON_KALK">Szacunek!$B$20</definedName>
    <definedName name="WYMIAR">Szacunek!$F$2</definedName>
    <definedName name="Wymiar_A">Szacunek!$B$2</definedName>
    <definedName name="Wymiar_B0">Szacunek!$B$3</definedName>
    <definedName name="Wymiar_B1">Szacunek!$B$4</definedName>
    <definedName name="Wymiar_B2">Szacunek!$B$5</definedName>
    <definedName name="Wymiar_C">Szacunek!$B$6</definedName>
    <definedName name="Wymiar_E">Szacunek!$B$7</definedName>
    <definedName name="WYS_POŁACI">Szacunek!$C$4</definedName>
  </definedNames>
  <calcPr calcId="162913" fullPrecision="0"/>
</workbook>
</file>

<file path=xl/calcChain.xml><?xml version="1.0" encoding="utf-8"?>
<calcChain xmlns="http://schemas.openxmlformats.org/spreadsheetml/2006/main">
  <c r="P17" i="12" l="1"/>
  <c r="Q17" i="12"/>
  <c r="R17" i="12"/>
  <c r="Z37" i="12"/>
  <c r="X37" i="12"/>
  <c r="W37" i="12"/>
  <c r="V37" i="12"/>
  <c r="Y37" i="12"/>
  <c r="AA37" i="12" s="1"/>
  <c r="Z14" i="12"/>
  <c r="P16" i="12"/>
  <c r="R16" i="12"/>
  <c r="Q16" i="12"/>
  <c r="V11" i="12"/>
  <c r="V10" i="12"/>
  <c r="Z32" i="12"/>
  <c r="W32" i="12"/>
  <c r="Y32" i="12" s="1"/>
  <c r="AA32" i="12" s="1"/>
  <c r="D191" i="12" s="1"/>
  <c r="V32" i="12"/>
  <c r="C193" i="11"/>
  <c r="B193" i="11"/>
  <c r="AD193" i="11" s="1"/>
  <c r="B139" i="18"/>
  <c r="A139" i="18"/>
  <c r="AN136" i="12"/>
  <c r="AN135" i="12"/>
  <c r="X136" i="12"/>
  <c r="Y136" i="12" s="1"/>
  <c r="AA136" i="12" s="1"/>
  <c r="Z136" i="12"/>
  <c r="AN139" i="12"/>
  <c r="AN130" i="12"/>
  <c r="B20" i="18"/>
  <c r="Z184" i="12"/>
  <c r="Z183" i="12"/>
  <c r="Z182" i="12"/>
  <c r="Z181" i="12"/>
  <c r="Z180" i="12"/>
  <c r="Z179" i="12"/>
  <c r="Z178" i="12"/>
  <c r="Z177" i="12"/>
  <c r="Z176" i="12"/>
  <c r="Z171" i="12"/>
  <c r="Z170" i="12"/>
  <c r="Z169" i="12"/>
  <c r="Z168" i="12"/>
  <c r="Z167" i="12"/>
  <c r="Z166" i="12"/>
  <c r="Z165" i="12"/>
  <c r="Z163" i="12"/>
  <c r="Z162" i="12"/>
  <c r="Z156" i="12"/>
  <c r="Z155" i="12"/>
  <c r="Z154" i="12"/>
  <c r="Z153" i="12"/>
  <c r="Z152" i="12"/>
  <c r="Z151" i="12"/>
  <c r="Z149" i="12"/>
  <c r="Z148" i="12"/>
  <c r="Z140" i="12"/>
  <c r="Z139" i="12"/>
  <c r="Z138" i="12"/>
  <c r="Z137" i="12"/>
  <c r="Z135" i="12"/>
  <c r="Z134" i="12"/>
  <c r="Z133" i="12"/>
  <c r="Z132" i="12"/>
  <c r="Z131" i="12"/>
  <c r="Z130" i="12"/>
  <c r="Z129" i="12"/>
  <c r="Z128" i="12"/>
  <c r="Z127" i="12"/>
  <c r="Z126" i="12"/>
  <c r="Z125" i="12"/>
  <c r="Z124" i="12"/>
  <c r="Z123" i="12"/>
  <c r="Z122" i="12"/>
  <c r="Z118" i="12"/>
  <c r="Z117" i="12"/>
  <c r="Z116" i="12"/>
  <c r="Z115" i="12"/>
  <c r="Z114" i="12"/>
  <c r="Z113" i="12"/>
  <c r="Z109" i="12"/>
  <c r="Z108" i="12"/>
  <c r="Z107" i="12"/>
  <c r="Z104" i="12"/>
  <c r="Z103" i="12"/>
  <c r="Z102" i="12"/>
  <c r="Z101" i="12"/>
  <c r="Z98" i="12"/>
  <c r="Z97" i="12"/>
  <c r="Z96" i="12"/>
  <c r="Z93" i="12"/>
  <c r="Z92" i="12"/>
  <c r="Z91" i="12"/>
  <c r="Z89" i="12"/>
  <c r="Z88" i="12"/>
  <c r="Z87" i="12"/>
  <c r="Z86" i="12"/>
  <c r="Z85" i="12"/>
  <c r="Z84" i="12"/>
  <c r="Z82" i="12"/>
  <c r="Z78" i="12"/>
  <c r="Z77" i="12"/>
  <c r="Z76" i="12"/>
  <c r="Z75" i="12"/>
  <c r="Z72" i="12"/>
  <c r="Z71" i="12"/>
  <c r="Z70" i="12"/>
  <c r="Z69" i="12"/>
  <c r="Z68" i="12"/>
  <c r="Z67" i="12"/>
  <c r="Z61" i="12"/>
  <c r="Z60" i="12"/>
  <c r="Z59" i="12"/>
  <c r="Z57" i="12"/>
  <c r="Z56" i="12"/>
  <c r="Z55" i="12"/>
  <c r="Z54" i="12"/>
  <c r="Z53" i="12"/>
  <c r="Z52" i="12"/>
  <c r="Z47" i="12"/>
  <c r="Z46" i="12"/>
  <c r="Z45" i="12"/>
  <c r="Z44" i="12"/>
  <c r="Z43" i="12"/>
  <c r="Z42" i="12"/>
  <c r="Z41" i="12"/>
  <c r="Z40" i="12"/>
  <c r="Z39" i="12"/>
  <c r="Z38" i="12"/>
  <c r="Z24" i="12"/>
  <c r="Z23" i="12"/>
  <c r="Z22" i="12"/>
  <c r="Z21" i="12"/>
  <c r="Z15" i="12"/>
  <c r="A32" i="16"/>
  <c r="AN10" i="12"/>
  <c r="H16" i="12"/>
  <c r="H6" i="12" s="1"/>
  <c r="D37" i="16"/>
  <c r="D45" i="16"/>
  <c r="D46" i="16"/>
  <c r="D43" i="16"/>
  <c r="AB11" i="12"/>
  <c r="AB10" i="12"/>
  <c r="AC10" i="12" s="1"/>
  <c r="AN14" i="12" s="1"/>
  <c r="AN149" i="12"/>
  <c r="AN148" i="12"/>
  <c r="B60" i="17"/>
  <c r="B61" i="17"/>
  <c r="C223" i="11"/>
  <c r="C224" i="11"/>
  <c r="C225" i="11"/>
  <c r="C226" i="11"/>
  <c r="C227" i="11"/>
  <c r="C228" i="11"/>
  <c r="C229" i="11"/>
  <c r="C230" i="11"/>
  <c r="C222" i="11"/>
  <c r="B223" i="11"/>
  <c r="AD223" i="11" s="1"/>
  <c r="B224" i="11"/>
  <c r="AD224" i="11" s="1"/>
  <c r="B225" i="11"/>
  <c r="AD225" i="11" s="1"/>
  <c r="B226" i="11"/>
  <c r="AD226" i="11" s="1"/>
  <c r="B227" i="11"/>
  <c r="AD227" i="11" s="1"/>
  <c r="B228" i="11"/>
  <c r="AD228" i="11" s="1"/>
  <c r="B229" i="11"/>
  <c r="AD229" i="11" s="1"/>
  <c r="B230" i="11"/>
  <c r="AD230" i="11" s="1"/>
  <c r="B222" i="11"/>
  <c r="AD222" i="11" s="1"/>
  <c r="F6" i="11"/>
  <c r="O2" i="11"/>
  <c r="F5" i="11"/>
  <c r="N2" i="11"/>
  <c r="F4" i="11"/>
  <c r="M2" i="11" s="1"/>
  <c r="X104" i="12"/>
  <c r="Y104" i="12" s="1"/>
  <c r="AA104" i="12" s="1"/>
  <c r="AN104" i="12"/>
  <c r="V3" i="18"/>
  <c r="AB171" i="12"/>
  <c r="AC171" i="12" s="1"/>
  <c r="AB170" i="12"/>
  <c r="AC170" i="12" s="1"/>
  <c r="AB169" i="12"/>
  <c r="AC169" i="12"/>
  <c r="AB168" i="12"/>
  <c r="AB167" i="12"/>
  <c r="AC167" i="12" s="1"/>
  <c r="AB166" i="12"/>
  <c r="AB165" i="12"/>
  <c r="AB156" i="12"/>
  <c r="AC156" i="12" s="1"/>
  <c r="AB155" i="12"/>
  <c r="AB154" i="12"/>
  <c r="AC154" i="12" s="1"/>
  <c r="AB153" i="12"/>
  <c r="AC153" i="12" s="1"/>
  <c r="AB152" i="12"/>
  <c r="AC152" i="12" s="1"/>
  <c r="AB151" i="12"/>
  <c r="B15" i="18"/>
  <c r="C15" i="18"/>
  <c r="A104" i="18"/>
  <c r="B104" i="18"/>
  <c r="A105" i="18"/>
  <c r="B105" i="18"/>
  <c r="A106" i="18"/>
  <c r="B106" i="18"/>
  <c r="A107" i="18"/>
  <c r="B107" i="18"/>
  <c r="AN85" i="12"/>
  <c r="AN86" i="12"/>
  <c r="AN87" i="12"/>
  <c r="AN88" i="12"/>
  <c r="AN89" i="12"/>
  <c r="AN84" i="12"/>
  <c r="AN82" i="12"/>
  <c r="X89" i="12"/>
  <c r="Y89" i="12"/>
  <c r="AA89" i="12" s="1"/>
  <c r="X88" i="12"/>
  <c r="Y88" i="12"/>
  <c r="AA88" i="12" s="1"/>
  <c r="X87" i="12"/>
  <c r="Y87" i="12" s="1"/>
  <c r="X86" i="12"/>
  <c r="Y86" i="12"/>
  <c r="AA86" i="12" s="1"/>
  <c r="X85" i="12"/>
  <c r="Y85" i="12"/>
  <c r="X84" i="12"/>
  <c r="Y84" i="12" s="1"/>
  <c r="X82" i="12"/>
  <c r="Y82" i="12"/>
  <c r="AA82" i="12"/>
  <c r="A102" i="18"/>
  <c r="A103" i="18"/>
  <c r="B102" i="18"/>
  <c r="B103" i="18"/>
  <c r="X93" i="12"/>
  <c r="Y93" i="12"/>
  <c r="A101" i="18"/>
  <c r="B101" i="18"/>
  <c r="A112" i="18"/>
  <c r="B112" i="18"/>
  <c r="AN102" i="12"/>
  <c r="AN103" i="12"/>
  <c r="AN101" i="12"/>
  <c r="X102" i="12"/>
  <c r="Y102" i="12"/>
  <c r="AA102" i="12"/>
  <c r="X103" i="12"/>
  <c r="Y103" i="12"/>
  <c r="AA103" i="12"/>
  <c r="X101" i="12"/>
  <c r="Y101" i="12" s="1"/>
  <c r="AA101" i="12" s="1"/>
  <c r="X98" i="12"/>
  <c r="Y98" i="12"/>
  <c r="AA98" i="12" s="1"/>
  <c r="B110" i="18"/>
  <c r="B111" i="18"/>
  <c r="A110" i="18"/>
  <c r="A111" i="18"/>
  <c r="A109" i="18"/>
  <c r="B109" i="18"/>
  <c r="AN98" i="12"/>
  <c r="AN93" i="12"/>
  <c r="A92" i="12"/>
  <c r="A91" i="12"/>
  <c r="A99" i="18"/>
  <c r="B99" i="18"/>
  <c r="A95" i="18"/>
  <c r="B95" i="18"/>
  <c r="X92" i="12"/>
  <c r="W92" i="12"/>
  <c r="V92" i="12"/>
  <c r="X91" i="12"/>
  <c r="W91" i="12"/>
  <c r="V91" i="12"/>
  <c r="A94" i="18"/>
  <c r="A93" i="18"/>
  <c r="B94" i="18"/>
  <c r="B93" i="18"/>
  <c r="A98" i="18"/>
  <c r="B98" i="18"/>
  <c r="A97" i="18"/>
  <c r="B97" i="18"/>
  <c r="B85" i="18"/>
  <c r="X71" i="12"/>
  <c r="Y71" i="12" s="1"/>
  <c r="AA71" i="12" s="1"/>
  <c r="A22" i="12"/>
  <c r="AN22" i="12" s="1"/>
  <c r="A23" i="12"/>
  <c r="AN23" i="12" s="1"/>
  <c r="A24" i="12"/>
  <c r="A21" i="12"/>
  <c r="AN21" i="12" s="1"/>
  <c r="A37" i="12"/>
  <c r="A38" i="12"/>
  <c r="A39" i="12"/>
  <c r="AN39" i="12" s="1"/>
  <c r="A40" i="12"/>
  <c r="A41" i="12"/>
  <c r="A42" i="12"/>
  <c r="AN42" i="12" s="1"/>
  <c r="A43" i="12"/>
  <c r="A44" i="12"/>
  <c r="A45" i="12"/>
  <c r="A46" i="12"/>
  <c r="A47" i="12"/>
  <c r="A32" i="12"/>
  <c r="A53" i="12"/>
  <c r="A54" i="12"/>
  <c r="A55" i="12"/>
  <c r="A56" i="12"/>
  <c r="A57" i="12"/>
  <c r="A52" i="12"/>
  <c r="A166" i="12"/>
  <c r="A167" i="12"/>
  <c r="A168" i="12"/>
  <c r="A169" i="12"/>
  <c r="AN169" i="12" s="1"/>
  <c r="A170" i="12"/>
  <c r="A171" i="12"/>
  <c r="A165" i="12"/>
  <c r="A163" i="12"/>
  <c r="A162" i="12"/>
  <c r="A152" i="12"/>
  <c r="A153" i="12"/>
  <c r="A154" i="12"/>
  <c r="A155" i="12"/>
  <c r="A156" i="12"/>
  <c r="A151" i="12"/>
  <c r="A149" i="12"/>
  <c r="A148" i="12"/>
  <c r="A140" i="12"/>
  <c r="A115" i="12"/>
  <c r="A116" i="12"/>
  <c r="A117" i="12"/>
  <c r="A118" i="12"/>
  <c r="A114" i="12"/>
  <c r="A113" i="12"/>
  <c r="A109" i="12"/>
  <c r="A108" i="12"/>
  <c r="A107" i="12"/>
  <c r="A97" i="12"/>
  <c r="A96" i="12"/>
  <c r="A78" i="12"/>
  <c r="A77" i="12"/>
  <c r="A76" i="12"/>
  <c r="A75" i="12"/>
  <c r="A72" i="12"/>
  <c r="A67" i="12"/>
  <c r="A68" i="12"/>
  <c r="A69" i="12"/>
  <c r="A70" i="12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2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A71" i="12"/>
  <c r="V97" i="12"/>
  <c r="W97" i="12"/>
  <c r="X97" i="12"/>
  <c r="X96" i="12"/>
  <c r="W96" i="12"/>
  <c r="Y96" i="12" s="1"/>
  <c r="AA96" i="12" s="1"/>
  <c r="V96" i="12"/>
  <c r="W77" i="12"/>
  <c r="X77" i="12"/>
  <c r="W78" i="12"/>
  <c r="X78" i="12"/>
  <c r="W76" i="12"/>
  <c r="X76" i="12"/>
  <c r="W75" i="12"/>
  <c r="Y75" i="12" s="1"/>
  <c r="AA75" i="12" s="1"/>
  <c r="V76" i="12"/>
  <c r="AN61" i="12"/>
  <c r="X61" i="12"/>
  <c r="Y61" i="12" s="1"/>
  <c r="A79" i="18"/>
  <c r="B79" i="18"/>
  <c r="AN177" i="12"/>
  <c r="AN178" i="12"/>
  <c r="AN179" i="12"/>
  <c r="AN180" i="12"/>
  <c r="AN181" i="12"/>
  <c r="AN182" i="12"/>
  <c r="AN183" i="12"/>
  <c r="AN184" i="12"/>
  <c r="AN176" i="12"/>
  <c r="X176" i="12"/>
  <c r="Y176" i="12"/>
  <c r="AA176" i="12" s="1"/>
  <c r="X177" i="12"/>
  <c r="Y177" i="12" s="1"/>
  <c r="AA177" i="12" s="1"/>
  <c r="X178" i="12"/>
  <c r="Y178" i="12"/>
  <c r="AA178" i="12" s="1"/>
  <c r="X179" i="12"/>
  <c r="Y179" i="12" s="1"/>
  <c r="AA179" i="12" s="1"/>
  <c r="X180" i="12"/>
  <c r="Y180" i="12"/>
  <c r="X181" i="12"/>
  <c r="Y181" i="12"/>
  <c r="AA181" i="12" s="1"/>
  <c r="X182" i="12"/>
  <c r="Y182" i="12" s="1"/>
  <c r="AA182" i="12" s="1"/>
  <c r="X183" i="12"/>
  <c r="Y183" i="12"/>
  <c r="AA183" i="12"/>
  <c r="X184" i="12"/>
  <c r="Y184" i="12" s="1"/>
  <c r="AA184" i="12" s="1"/>
  <c r="A159" i="18"/>
  <c r="B159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1" i="18"/>
  <c r="B151" i="18"/>
  <c r="A152" i="18"/>
  <c r="B152" i="18"/>
  <c r="A149" i="18"/>
  <c r="B149" i="18"/>
  <c r="A148" i="18"/>
  <c r="B148" i="18"/>
  <c r="A145" i="18"/>
  <c r="B145" i="18"/>
  <c r="A146" i="18"/>
  <c r="B146" i="18"/>
  <c r="A141" i="18"/>
  <c r="B141" i="18"/>
  <c r="A142" i="18"/>
  <c r="B142" i="18"/>
  <c r="A143" i="18"/>
  <c r="B143" i="18"/>
  <c r="A134" i="18"/>
  <c r="B134" i="18"/>
  <c r="A135" i="18"/>
  <c r="B135" i="18"/>
  <c r="A136" i="18"/>
  <c r="B136" i="18"/>
  <c r="A137" i="18"/>
  <c r="B137" i="18"/>
  <c r="A138" i="18"/>
  <c r="B138" i="18"/>
  <c r="A140" i="18"/>
  <c r="B140" i="18"/>
  <c r="A132" i="18"/>
  <c r="B132" i="18"/>
  <c r="A133" i="18"/>
  <c r="B133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19" i="18"/>
  <c r="B119" i="18"/>
  <c r="A120" i="18"/>
  <c r="B120" i="18"/>
  <c r="A121" i="18"/>
  <c r="B121" i="18"/>
  <c r="A122" i="18"/>
  <c r="B122" i="18"/>
  <c r="A123" i="18"/>
  <c r="B123" i="18"/>
  <c r="A118" i="18"/>
  <c r="B118" i="18"/>
  <c r="B14" i="18"/>
  <c r="D88" i="18" s="1"/>
  <c r="B82" i="18"/>
  <c r="B83" i="18"/>
  <c r="B84" i="18"/>
  <c r="B86" i="18"/>
  <c r="B88" i="18"/>
  <c r="B89" i="18"/>
  <c r="B90" i="18"/>
  <c r="B91" i="18"/>
  <c r="B114" i="18"/>
  <c r="B115" i="18"/>
  <c r="B116" i="18"/>
  <c r="B81" i="18"/>
  <c r="A82" i="18"/>
  <c r="A83" i="18"/>
  <c r="A84" i="18"/>
  <c r="A86" i="18"/>
  <c r="A88" i="18"/>
  <c r="A89" i="18"/>
  <c r="A90" i="18"/>
  <c r="A91" i="18"/>
  <c r="A114" i="18"/>
  <c r="A115" i="18"/>
  <c r="A81" i="18"/>
  <c r="B8" i="18"/>
  <c r="H155" i="18"/>
  <c r="A78" i="18"/>
  <c r="A77" i="18"/>
  <c r="B78" i="18"/>
  <c r="B77" i="18"/>
  <c r="A71" i="18"/>
  <c r="B71" i="18"/>
  <c r="A72" i="18"/>
  <c r="B72" i="18"/>
  <c r="A73" i="18"/>
  <c r="B73" i="18"/>
  <c r="A74" i="18"/>
  <c r="B74" i="18"/>
  <c r="A75" i="18"/>
  <c r="B75" i="18"/>
  <c r="A70" i="18"/>
  <c r="B70" i="18"/>
  <c r="A57" i="18"/>
  <c r="B57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B58" i="18"/>
  <c r="A58" i="18"/>
  <c r="B40" i="18"/>
  <c r="B47" i="18" s="1"/>
  <c r="B38" i="18"/>
  <c r="B37" i="18"/>
  <c r="B50" i="18"/>
  <c r="B36" i="18"/>
  <c r="B49" i="18"/>
  <c r="B3" i="18"/>
  <c r="B4" i="18"/>
  <c r="E95" i="18" s="1"/>
  <c r="B5" i="18"/>
  <c r="D68" i="18" s="1"/>
  <c r="B6" i="18"/>
  <c r="B7" i="18"/>
  <c r="B2" i="18"/>
  <c r="E83" i="18" s="1"/>
  <c r="H83" i="18" s="1"/>
  <c r="B12" i="18"/>
  <c r="C12" i="18"/>
  <c r="G24" i="18" s="1"/>
  <c r="B11" i="18"/>
  <c r="D91" i="18"/>
  <c r="B10" i="18"/>
  <c r="B25" i="18"/>
  <c r="B32" i="18"/>
  <c r="B27" i="18"/>
  <c r="AN123" i="12"/>
  <c r="AN124" i="12"/>
  <c r="AN125" i="12"/>
  <c r="AN126" i="12"/>
  <c r="AN127" i="12"/>
  <c r="AN128" i="12"/>
  <c r="AN129" i="12"/>
  <c r="AN131" i="12"/>
  <c r="AN132" i="12"/>
  <c r="AN133" i="12"/>
  <c r="AN134" i="12"/>
  <c r="AN137" i="12"/>
  <c r="AN138" i="12"/>
  <c r="AN122" i="12"/>
  <c r="AN108" i="12"/>
  <c r="AN109" i="12"/>
  <c r="AN107" i="12"/>
  <c r="AN60" i="12"/>
  <c r="AN59" i="12"/>
  <c r="K19" i="17"/>
  <c r="L19" i="17"/>
  <c r="M19" i="17"/>
  <c r="N19" i="17"/>
  <c r="O19" i="17"/>
  <c r="P19" i="17"/>
  <c r="Q19" i="17"/>
  <c r="K20" i="17"/>
  <c r="L20" i="17"/>
  <c r="M20" i="17"/>
  <c r="N20" i="17"/>
  <c r="O20" i="17"/>
  <c r="P20" i="17"/>
  <c r="Q20" i="17"/>
  <c r="K21" i="17"/>
  <c r="L21" i="17"/>
  <c r="M21" i="17"/>
  <c r="N21" i="17"/>
  <c r="O21" i="17"/>
  <c r="P21" i="17"/>
  <c r="Q21" i="17"/>
  <c r="K22" i="17"/>
  <c r="L22" i="17"/>
  <c r="M22" i="17"/>
  <c r="N22" i="17"/>
  <c r="P22" i="17"/>
  <c r="Q22" i="17"/>
  <c r="K23" i="17"/>
  <c r="L23" i="17"/>
  <c r="M23" i="17"/>
  <c r="N23" i="17"/>
  <c r="P23" i="17"/>
  <c r="Q23" i="17"/>
  <c r="L18" i="17"/>
  <c r="M18" i="17"/>
  <c r="N18" i="17"/>
  <c r="O18" i="17"/>
  <c r="P18" i="17"/>
  <c r="Q18" i="17"/>
  <c r="K18" i="17"/>
  <c r="C60" i="11"/>
  <c r="C83" i="11"/>
  <c r="X32" i="12"/>
  <c r="B30" i="18"/>
  <c r="B28" i="18"/>
  <c r="B31" i="18"/>
  <c r="B26" i="18"/>
  <c r="B29" i="18"/>
  <c r="C217" i="11"/>
  <c r="C218" i="11"/>
  <c r="C219" i="11"/>
  <c r="C220" i="11"/>
  <c r="C221" i="11"/>
  <c r="B219" i="11"/>
  <c r="AD219" i="11" s="1"/>
  <c r="B220" i="11"/>
  <c r="AD220" i="11" s="1"/>
  <c r="B221" i="11"/>
  <c r="AD221" i="11" s="1"/>
  <c r="C216" i="11"/>
  <c r="C215" i="11"/>
  <c r="C214" i="11"/>
  <c r="C208" i="11"/>
  <c r="C209" i="11"/>
  <c r="C210" i="11"/>
  <c r="C211" i="11"/>
  <c r="C212" i="11"/>
  <c r="C213" i="11"/>
  <c r="C207" i="11"/>
  <c r="C206" i="11"/>
  <c r="C205" i="11"/>
  <c r="C202" i="11"/>
  <c r="C203" i="11"/>
  <c r="C204" i="11"/>
  <c r="C201" i="11"/>
  <c r="B216" i="11"/>
  <c r="AD216" i="11" s="1"/>
  <c r="B215" i="11"/>
  <c r="AD215" i="11" s="1"/>
  <c r="B214" i="11"/>
  <c r="AD214" i="11" s="1"/>
  <c r="B217" i="11"/>
  <c r="AD217" i="11" s="1"/>
  <c r="B218" i="11"/>
  <c r="AD218" i="11" s="1"/>
  <c r="B213" i="11"/>
  <c r="AD213" i="11" s="1"/>
  <c r="B208" i="11"/>
  <c r="AD208" i="11" s="1"/>
  <c r="B209" i="11"/>
  <c r="AD209" i="11" s="1"/>
  <c r="B210" i="11"/>
  <c r="AD210" i="11" s="1"/>
  <c r="B211" i="11"/>
  <c r="AD211" i="11" s="1"/>
  <c r="B212" i="11"/>
  <c r="AD212" i="11" s="1"/>
  <c r="B207" i="11"/>
  <c r="AD207" i="11" s="1"/>
  <c r="B206" i="11"/>
  <c r="AD206" i="11" s="1"/>
  <c r="B205" i="11"/>
  <c r="AD205" i="11" s="1"/>
  <c r="B202" i="11"/>
  <c r="AD202" i="11" s="1"/>
  <c r="B203" i="11"/>
  <c r="AD203" i="11" s="1"/>
  <c r="B204" i="11"/>
  <c r="AD204" i="11" s="1"/>
  <c r="B201" i="11"/>
  <c r="AD201" i="11" s="1"/>
  <c r="B200" i="11"/>
  <c r="AD200" i="11" s="1"/>
  <c r="C200" i="11"/>
  <c r="C199" i="11"/>
  <c r="B199" i="11"/>
  <c r="AD199" i="11" s="1"/>
  <c r="C198" i="11"/>
  <c r="C197" i="11"/>
  <c r="B198" i="11"/>
  <c r="AD198" i="11" s="1"/>
  <c r="B197" i="11"/>
  <c r="AD197" i="11" s="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4" i="11"/>
  <c r="C195" i="11"/>
  <c r="C196" i="11"/>
  <c r="C179" i="11"/>
  <c r="B195" i="11"/>
  <c r="AD195" i="11" s="1"/>
  <c r="B196" i="11"/>
  <c r="AD196" i="11" s="1"/>
  <c r="B180" i="11"/>
  <c r="AD180" i="11" s="1"/>
  <c r="B181" i="11"/>
  <c r="AD181" i="11" s="1"/>
  <c r="B182" i="11"/>
  <c r="AD182" i="11" s="1"/>
  <c r="B183" i="11"/>
  <c r="AD183" i="11" s="1"/>
  <c r="B184" i="11"/>
  <c r="AD184" i="11" s="1"/>
  <c r="B185" i="11"/>
  <c r="AD185" i="11" s="1"/>
  <c r="B186" i="11"/>
  <c r="AD186" i="11" s="1"/>
  <c r="B187" i="11"/>
  <c r="AD187" i="11" s="1"/>
  <c r="B188" i="11"/>
  <c r="AD188" i="11" s="1"/>
  <c r="B189" i="11"/>
  <c r="AD189" i="11" s="1"/>
  <c r="B190" i="11"/>
  <c r="AD190" i="11" s="1"/>
  <c r="B191" i="11"/>
  <c r="AD191" i="11" s="1"/>
  <c r="B192" i="11"/>
  <c r="AD192" i="11" s="1"/>
  <c r="B194" i="11"/>
  <c r="AD194" i="11" s="1"/>
  <c r="B179" i="11"/>
  <c r="AD179" i="11" s="1"/>
  <c r="C174" i="11"/>
  <c r="C175" i="11"/>
  <c r="C176" i="11"/>
  <c r="C177" i="11"/>
  <c r="C178" i="11"/>
  <c r="B174" i="11"/>
  <c r="AD174" i="11" s="1"/>
  <c r="B175" i="11"/>
  <c r="AD175" i="11" s="1"/>
  <c r="B176" i="11"/>
  <c r="AD176" i="11" s="1"/>
  <c r="B177" i="11"/>
  <c r="AD177" i="11" s="1"/>
  <c r="B178" i="11"/>
  <c r="AD178" i="11" s="1"/>
  <c r="C173" i="11"/>
  <c r="B173" i="11"/>
  <c r="AD173" i="11" s="1"/>
  <c r="C172" i="11"/>
  <c r="C171" i="11"/>
  <c r="C169" i="11"/>
  <c r="C170" i="11"/>
  <c r="C168" i="11"/>
  <c r="B172" i="11"/>
  <c r="AD172" i="11" s="1"/>
  <c r="B171" i="11"/>
  <c r="AD171" i="11" s="1"/>
  <c r="B169" i="11"/>
  <c r="AD169" i="11" s="1"/>
  <c r="B170" i="11"/>
  <c r="AD170" i="11" s="1"/>
  <c r="B168" i="11"/>
  <c r="AD168" i="11" s="1"/>
  <c r="C167" i="11"/>
  <c r="B167" i="11"/>
  <c r="AD167" i="11" s="1"/>
  <c r="C166" i="11"/>
  <c r="B166" i="11"/>
  <c r="AD166" i="11" s="1"/>
  <c r="C165" i="11"/>
  <c r="B165" i="11"/>
  <c r="AD165" i="11" s="1"/>
  <c r="C162" i="11"/>
  <c r="C163" i="11"/>
  <c r="C164" i="11"/>
  <c r="C161" i="11"/>
  <c r="B162" i="11"/>
  <c r="AD162" i="11" s="1"/>
  <c r="B163" i="11"/>
  <c r="AD163" i="11" s="1"/>
  <c r="B164" i="11"/>
  <c r="AD164" i="11" s="1"/>
  <c r="B161" i="11"/>
  <c r="AD161" i="11" s="1"/>
  <c r="C158" i="11"/>
  <c r="C159" i="11"/>
  <c r="C160" i="11"/>
  <c r="B158" i="11"/>
  <c r="AD158" i="11" s="1"/>
  <c r="B159" i="11"/>
  <c r="AD159" i="11" s="1"/>
  <c r="B160" i="11"/>
  <c r="AD160" i="11" s="1"/>
  <c r="C157" i="11"/>
  <c r="B157" i="11"/>
  <c r="AD157" i="11" s="1"/>
  <c r="B156" i="11"/>
  <c r="AD156" i="11" s="1"/>
  <c r="C156" i="11"/>
  <c r="C155" i="11"/>
  <c r="B155" i="11"/>
  <c r="AD155" i="11" s="1"/>
  <c r="C154" i="11"/>
  <c r="C153" i="11"/>
  <c r="B154" i="11"/>
  <c r="AD154" i="11" s="1"/>
  <c r="B153" i="11"/>
  <c r="AD153" i="11" s="1"/>
  <c r="C152" i="11"/>
  <c r="B152" i="11"/>
  <c r="AD152" i="11" s="1"/>
  <c r="C151" i="11"/>
  <c r="B151" i="11"/>
  <c r="AD151" i="11" s="1"/>
  <c r="C150" i="11"/>
  <c r="C149" i="11"/>
  <c r="B150" i="11"/>
  <c r="AD150" i="11" s="1"/>
  <c r="B149" i="11"/>
  <c r="AD149" i="11" s="1"/>
  <c r="C148" i="11"/>
  <c r="C147" i="11"/>
  <c r="B148" i="11"/>
  <c r="AD148" i="11" s="1"/>
  <c r="B147" i="11"/>
  <c r="AD147" i="11" s="1"/>
  <c r="C143" i="11"/>
  <c r="C144" i="11"/>
  <c r="C145" i="11"/>
  <c r="C146" i="11"/>
  <c r="B143" i="11"/>
  <c r="AD143" i="11" s="1"/>
  <c r="B144" i="11"/>
  <c r="AD144" i="11" s="1"/>
  <c r="B145" i="11"/>
  <c r="AD145" i="11" s="1"/>
  <c r="B146" i="11"/>
  <c r="AD146" i="11" s="1"/>
  <c r="C142" i="11"/>
  <c r="B142" i="11"/>
  <c r="AD142" i="11" s="1"/>
  <c r="C138" i="11"/>
  <c r="C139" i="11"/>
  <c r="C140" i="11"/>
  <c r="C141" i="11"/>
  <c r="C137" i="11"/>
  <c r="B140" i="11"/>
  <c r="AD140" i="11" s="1"/>
  <c r="B141" i="11"/>
  <c r="AD141" i="11" s="1"/>
  <c r="B138" i="11"/>
  <c r="AD138" i="11" s="1"/>
  <c r="B139" i="11"/>
  <c r="AD139" i="11" s="1"/>
  <c r="B137" i="11"/>
  <c r="AD137" i="11" s="1"/>
  <c r="C136" i="11"/>
  <c r="C135" i="11"/>
  <c r="B136" i="11"/>
  <c r="AD136" i="11" s="1"/>
  <c r="B135" i="11"/>
  <c r="AD135" i="11" s="1"/>
  <c r="C130" i="11"/>
  <c r="C131" i="11"/>
  <c r="C132" i="11"/>
  <c r="C133" i="11"/>
  <c r="C134" i="11"/>
  <c r="C129" i="11"/>
  <c r="B130" i="11"/>
  <c r="AD130" i="11" s="1"/>
  <c r="B131" i="11"/>
  <c r="AD131" i="11" s="1"/>
  <c r="B132" i="11"/>
  <c r="AD132" i="11" s="1"/>
  <c r="B133" i="11"/>
  <c r="AD133" i="11" s="1"/>
  <c r="B134" i="11"/>
  <c r="AD134" i="11" s="1"/>
  <c r="B129" i="11"/>
  <c r="AD129" i="11" s="1"/>
  <c r="C124" i="11"/>
  <c r="C125" i="11"/>
  <c r="C126" i="11"/>
  <c r="C127" i="11"/>
  <c r="C128" i="11"/>
  <c r="B128" i="11"/>
  <c r="AD128" i="11" s="1"/>
  <c r="B124" i="11"/>
  <c r="AD124" i="11" s="1"/>
  <c r="B125" i="11"/>
  <c r="AD125" i="11" s="1"/>
  <c r="B126" i="11"/>
  <c r="AD126" i="11" s="1"/>
  <c r="B127" i="11"/>
  <c r="AD127" i="11" s="1"/>
  <c r="C123" i="11"/>
  <c r="B123" i="11"/>
  <c r="AD123" i="11" s="1"/>
  <c r="C120" i="11"/>
  <c r="C121" i="11"/>
  <c r="C122" i="11"/>
  <c r="B120" i="11"/>
  <c r="AD120" i="11" s="1"/>
  <c r="B121" i="11"/>
  <c r="AD121" i="11" s="1"/>
  <c r="B122" i="11"/>
  <c r="AD122" i="11" s="1"/>
  <c r="C119" i="11"/>
  <c r="B119" i="11"/>
  <c r="AD119" i="11" s="1"/>
  <c r="C114" i="11"/>
  <c r="C115" i="11"/>
  <c r="C116" i="11"/>
  <c r="C117" i="11"/>
  <c r="C118" i="11"/>
  <c r="B114" i="11"/>
  <c r="AD114" i="11" s="1"/>
  <c r="B115" i="11"/>
  <c r="AD115" i="11" s="1"/>
  <c r="B116" i="11"/>
  <c r="AD116" i="11" s="1"/>
  <c r="B117" i="11"/>
  <c r="AD117" i="11" s="1"/>
  <c r="B118" i="11"/>
  <c r="AD118" i="11" s="1"/>
  <c r="C113" i="11"/>
  <c r="B113" i="11"/>
  <c r="AD113" i="11" s="1"/>
  <c r="B108" i="11"/>
  <c r="AD108" i="11" s="1"/>
  <c r="B109" i="11"/>
  <c r="AD109" i="11" s="1"/>
  <c r="B110" i="11"/>
  <c r="AD110" i="11" s="1"/>
  <c r="B111" i="11"/>
  <c r="AD111" i="11" s="1"/>
  <c r="B112" i="11"/>
  <c r="AD112" i="11" s="1"/>
  <c r="C112" i="11"/>
  <c r="C108" i="11"/>
  <c r="C109" i="11"/>
  <c r="C110" i="11"/>
  <c r="C111" i="11"/>
  <c r="C107" i="11"/>
  <c r="B107" i="11"/>
  <c r="AD107" i="11" s="1"/>
  <c r="C102" i="11"/>
  <c r="C103" i="11"/>
  <c r="C104" i="11"/>
  <c r="C105" i="11"/>
  <c r="C106" i="11"/>
  <c r="C101" i="11"/>
  <c r="B102" i="11"/>
  <c r="AD102" i="11" s="1"/>
  <c r="B103" i="11"/>
  <c r="AD103" i="11" s="1"/>
  <c r="B104" i="11"/>
  <c r="AD104" i="11" s="1"/>
  <c r="B105" i="11"/>
  <c r="AD105" i="11" s="1"/>
  <c r="B106" i="11"/>
  <c r="AD106" i="11" s="1"/>
  <c r="B101" i="11"/>
  <c r="AD101" i="11" s="1"/>
  <c r="C96" i="11"/>
  <c r="C97" i="11"/>
  <c r="C98" i="11"/>
  <c r="C99" i="11"/>
  <c r="C100" i="11"/>
  <c r="C95" i="11"/>
  <c r="B96" i="11"/>
  <c r="AD96" i="11" s="1"/>
  <c r="B97" i="11"/>
  <c r="AD97" i="11" s="1"/>
  <c r="B98" i="11"/>
  <c r="AD98" i="11" s="1"/>
  <c r="B99" i="11"/>
  <c r="AD99" i="11" s="1"/>
  <c r="B100" i="11"/>
  <c r="AD100" i="11" s="1"/>
  <c r="B95" i="11"/>
  <c r="AD95" i="11" s="1"/>
  <c r="C46" i="11"/>
  <c r="W40" i="12"/>
  <c r="C13" i="11"/>
  <c r="C14" i="11"/>
  <c r="C15" i="11"/>
  <c r="B13" i="11"/>
  <c r="AD13" i="11" s="1"/>
  <c r="B14" i="11"/>
  <c r="AD14" i="11" s="1"/>
  <c r="B15" i="11"/>
  <c r="AD15" i="11" s="1"/>
  <c r="C12" i="11"/>
  <c r="B12" i="11"/>
  <c r="AD12" i="11" s="1"/>
  <c r="B9" i="11"/>
  <c r="AD9" i="11" s="1"/>
  <c r="C9" i="11"/>
  <c r="B10" i="11"/>
  <c r="AD10" i="11" s="1"/>
  <c r="C10" i="11"/>
  <c r="B11" i="11"/>
  <c r="AD11" i="11" s="1"/>
  <c r="C11" i="11"/>
  <c r="C8" i="11"/>
  <c r="C5" i="11"/>
  <c r="C6" i="11"/>
  <c r="C7" i="11"/>
  <c r="C4" i="11"/>
  <c r="B8" i="11"/>
  <c r="AD8" i="11" s="1"/>
  <c r="B5" i="11"/>
  <c r="AD5" i="11" s="1"/>
  <c r="B6" i="11"/>
  <c r="AD6" i="11" s="1"/>
  <c r="B7" i="11"/>
  <c r="AD7" i="11" s="1"/>
  <c r="B4" i="11"/>
  <c r="AD4" i="11" s="1"/>
  <c r="X168" i="12"/>
  <c r="Y168" i="12"/>
  <c r="AA168" i="12" s="1"/>
  <c r="X169" i="12"/>
  <c r="Y169" i="12" s="1"/>
  <c r="AA169" i="12" s="1"/>
  <c r="X170" i="12"/>
  <c r="Y170" i="12" s="1"/>
  <c r="AA170" i="12" s="1"/>
  <c r="X171" i="12"/>
  <c r="Y171" i="12" s="1"/>
  <c r="AA171" i="12" s="1"/>
  <c r="X154" i="12"/>
  <c r="Y154" i="12"/>
  <c r="AA154" i="12" s="1"/>
  <c r="X155" i="12"/>
  <c r="Y155" i="12" s="1"/>
  <c r="AA155" i="12" s="1"/>
  <c r="X156" i="12"/>
  <c r="Y156" i="12" s="1"/>
  <c r="AA156" i="12" s="1"/>
  <c r="X167" i="12"/>
  <c r="Y167" i="12" s="1"/>
  <c r="AA167" i="12" s="1"/>
  <c r="X166" i="12"/>
  <c r="Y166" i="12"/>
  <c r="AA166" i="12" s="1"/>
  <c r="X165" i="12"/>
  <c r="Y165" i="12" s="1"/>
  <c r="AA165" i="12" s="1"/>
  <c r="X163" i="12"/>
  <c r="Y163" i="12" s="1"/>
  <c r="AA163" i="12" s="1"/>
  <c r="X162" i="12"/>
  <c r="Y162" i="12" s="1"/>
  <c r="AA162" i="12" s="1"/>
  <c r="X153" i="12"/>
  <c r="Y153" i="12" s="1"/>
  <c r="AA153" i="12" s="1"/>
  <c r="X152" i="12"/>
  <c r="Y152" i="12" s="1"/>
  <c r="AA152" i="12" s="1"/>
  <c r="X151" i="12"/>
  <c r="Y151" i="12" s="1"/>
  <c r="AA151" i="12" s="1"/>
  <c r="X149" i="12"/>
  <c r="Y149" i="12" s="1"/>
  <c r="AA149" i="12" s="1"/>
  <c r="X148" i="12"/>
  <c r="Y148" i="12" s="1"/>
  <c r="AA148" i="12" s="1"/>
  <c r="X140" i="12"/>
  <c r="Y140" i="12"/>
  <c r="AA140" i="12" s="1"/>
  <c r="X123" i="12"/>
  <c r="Y123" i="12"/>
  <c r="AA123" i="12"/>
  <c r="X124" i="12"/>
  <c r="Y124" i="12" s="1"/>
  <c r="AA124" i="12" s="1"/>
  <c r="X125" i="12"/>
  <c r="Y125" i="12" s="1"/>
  <c r="AA125" i="12" s="1"/>
  <c r="X126" i="12"/>
  <c r="Y126" i="12" s="1"/>
  <c r="AA126" i="12" s="1"/>
  <c r="X127" i="12"/>
  <c r="Y127" i="12" s="1"/>
  <c r="X128" i="12"/>
  <c r="Y128" i="12" s="1"/>
  <c r="AA128" i="12" s="1"/>
  <c r="X129" i="12"/>
  <c r="Y129" i="12" s="1"/>
  <c r="AA129" i="12" s="1"/>
  <c r="X130" i="12"/>
  <c r="Y130" i="12" s="1"/>
  <c r="AA130" i="12" s="1"/>
  <c r="X131" i="12"/>
  <c r="Y131" i="12" s="1"/>
  <c r="AA131" i="12" s="1"/>
  <c r="X132" i="12"/>
  <c r="Y132" i="12" s="1"/>
  <c r="AA132" i="12" s="1"/>
  <c r="X133" i="12"/>
  <c r="Y133" i="12" s="1"/>
  <c r="AA133" i="12" s="1"/>
  <c r="X134" i="12"/>
  <c r="Y134" i="12" s="1"/>
  <c r="AA134" i="12" s="1"/>
  <c r="X135" i="12"/>
  <c r="Y135" i="12"/>
  <c r="AA135" i="12" s="1"/>
  <c r="X137" i="12"/>
  <c r="Y137" i="12" s="1"/>
  <c r="AA137" i="12" s="1"/>
  <c r="X138" i="12"/>
  <c r="Y138" i="12" s="1"/>
  <c r="AA138" i="12" s="1"/>
  <c r="X139" i="12"/>
  <c r="Y139" i="12"/>
  <c r="AA139" i="12"/>
  <c r="X114" i="12"/>
  <c r="Y114" i="12"/>
  <c r="AA114" i="12" s="1"/>
  <c r="X115" i="12"/>
  <c r="Y115" i="12" s="1"/>
  <c r="AA115" i="12" s="1"/>
  <c r="X116" i="12"/>
  <c r="Y116" i="12" s="1"/>
  <c r="AA116" i="12" s="1"/>
  <c r="X117" i="12"/>
  <c r="Y117" i="12" s="1"/>
  <c r="AA117" i="12" s="1"/>
  <c r="X118" i="12"/>
  <c r="Y118" i="12" s="1"/>
  <c r="AA118" i="12" s="1"/>
  <c r="X113" i="12"/>
  <c r="Y113" i="12"/>
  <c r="AA113" i="12" s="1"/>
  <c r="X122" i="12"/>
  <c r="Y122" i="12" s="1"/>
  <c r="AA122" i="12" s="1"/>
  <c r="X108" i="12"/>
  <c r="Y108" i="12" s="1"/>
  <c r="AA108" i="12" s="1"/>
  <c r="X109" i="12"/>
  <c r="Y109" i="12"/>
  <c r="AA109" i="12" s="1"/>
  <c r="X107" i="12"/>
  <c r="Y107" i="12" s="1"/>
  <c r="AA107" i="12" s="1"/>
  <c r="V77" i="12"/>
  <c r="V78" i="12"/>
  <c r="V75" i="12"/>
  <c r="X67" i="12"/>
  <c r="Y67" i="12" s="1"/>
  <c r="AA67" i="12" s="1"/>
  <c r="X75" i="12"/>
  <c r="X68" i="12"/>
  <c r="Y68" i="12" s="1"/>
  <c r="AA68" i="12" s="1"/>
  <c r="X69" i="12"/>
  <c r="Y69" i="12" s="1"/>
  <c r="AA69" i="12" s="1"/>
  <c r="X70" i="12"/>
  <c r="Y70" i="12"/>
  <c r="X72" i="12"/>
  <c r="Y72" i="12"/>
  <c r="AA72" i="12" s="1"/>
  <c r="V53" i="12"/>
  <c r="W53" i="12"/>
  <c r="X53" i="12"/>
  <c r="Y53" i="12" s="1"/>
  <c r="AA53" i="12" s="1"/>
  <c r="V54" i="12"/>
  <c r="W54" i="12"/>
  <c r="X54" i="12"/>
  <c r="V55" i="12"/>
  <c r="W55" i="12"/>
  <c r="X55" i="12"/>
  <c r="V56" i="12"/>
  <c r="W56" i="12"/>
  <c r="Y56" i="12" s="1"/>
  <c r="AA56" i="12" s="1"/>
  <c r="X56" i="12"/>
  <c r="V57" i="12"/>
  <c r="W57" i="12"/>
  <c r="Y57" i="12"/>
  <c r="AA57" i="12" s="1"/>
  <c r="X57" i="12"/>
  <c r="V52" i="12"/>
  <c r="W52" i="12"/>
  <c r="Y52" i="12" s="1"/>
  <c r="AA52" i="12" s="1"/>
  <c r="X52" i="12"/>
  <c r="W47" i="12"/>
  <c r="G16" i="12"/>
  <c r="I16" i="12"/>
  <c r="I6" i="12" s="1"/>
  <c r="J16" i="12"/>
  <c r="J6" i="12"/>
  <c r="K16" i="12"/>
  <c r="L16" i="12"/>
  <c r="L6" i="12" s="1"/>
  <c r="F16" i="12"/>
  <c r="F6" i="12" s="1"/>
  <c r="D2" i="13"/>
  <c r="W21" i="12"/>
  <c r="X21" i="12"/>
  <c r="W22" i="12"/>
  <c r="X22" i="12"/>
  <c r="W23" i="12"/>
  <c r="X23" i="12"/>
  <c r="Y23" i="12" s="1"/>
  <c r="AA23" i="12" s="1"/>
  <c r="W24" i="12"/>
  <c r="Y24" i="12" s="1"/>
  <c r="AA24" i="12" s="1"/>
  <c r="X24" i="12"/>
  <c r="F3" i="11"/>
  <c r="L2" i="11" s="1"/>
  <c r="X60" i="12"/>
  <c r="Y60" i="12" s="1"/>
  <c r="AA60" i="12" s="1"/>
  <c r="X59" i="12"/>
  <c r="Y59" i="12" s="1"/>
  <c r="AA59" i="12" s="1"/>
  <c r="F9" i="11"/>
  <c r="F2" i="11"/>
  <c r="K2" i="11" s="1"/>
  <c r="W9" i="12"/>
  <c r="V38" i="12"/>
  <c r="V39" i="12"/>
  <c r="V40" i="12"/>
  <c r="V41" i="12"/>
  <c r="V42" i="12"/>
  <c r="V43" i="12"/>
  <c r="V44" i="12"/>
  <c r="V45" i="12"/>
  <c r="V46" i="12"/>
  <c r="V47" i="12"/>
  <c r="W38" i="12"/>
  <c r="W41" i="12"/>
  <c r="Y41" i="12" s="1"/>
  <c r="AA41" i="12" s="1"/>
  <c r="W45" i="12"/>
  <c r="W46" i="12"/>
  <c r="X38" i="12"/>
  <c r="X39" i="12"/>
  <c r="X40" i="12"/>
  <c r="X41" i="12"/>
  <c r="X42" i="12"/>
  <c r="X43" i="12"/>
  <c r="Y43" i="12" s="1"/>
  <c r="AA43" i="12" s="1"/>
  <c r="X44" i="12"/>
  <c r="X45" i="12"/>
  <c r="X46" i="12"/>
  <c r="X47" i="12"/>
  <c r="D11" i="16"/>
  <c r="F8" i="11" s="1"/>
  <c r="C40" i="11"/>
  <c r="C42" i="11"/>
  <c r="C43" i="11"/>
  <c r="C47" i="11"/>
  <c r="C48" i="11"/>
  <c r="C39" i="11"/>
  <c r="C29" i="11"/>
  <c r="C32" i="11"/>
  <c r="C33" i="11"/>
  <c r="C34" i="11"/>
  <c r="C36" i="11"/>
  <c r="C37" i="11"/>
  <c r="C28" i="11"/>
  <c r="C27" i="11"/>
  <c r="C26" i="11"/>
  <c r="C18" i="11"/>
  <c r="C19" i="11"/>
  <c r="C20" i="11"/>
  <c r="C21" i="11"/>
  <c r="C22" i="11"/>
  <c r="C23" i="11"/>
  <c r="C24" i="11"/>
  <c r="C25" i="11"/>
  <c r="C17" i="11"/>
  <c r="C16" i="11"/>
  <c r="B40" i="11"/>
  <c r="AD40" i="11" s="1"/>
  <c r="B41" i="11"/>
  <c r="AD41" i="11" s="1"/>
  <c r="B42" i="11"/>
  <c r="AD42" i="11" s="1"/>
  <c r="B43" i="11"/>
  <c r="AD43" i="11" s="1"/>
  <c r="B44" i="11"/>
  <c r="AD44" i="11" s="1"/>
  <c r="B45" i="11"/>
  <c r="AD45" i="11" s="1"/>
  <c r="B46" i="11"/>
  <c r="AD46" i="11" s="1"/>
  <c r="B47" i="11"/>
  <c r="AD47" i="11" s="1"/>
  <c r="B48" i="11"/>
  <c r="AD48" i="11" s="1"/>
  <c r="B39" i="11"/>
  <c r="AD39" i="11" s="1"/>
  <c r="B29" i="11"/>
  <c r="AD29" i="11" s="1"/>
  <c r="B30" i="11"/>
  <c r="AD30" i="11" s="1"/>
  <c r="B31" i="11"/>
  <c r="AD31" i="11" s="1"/>
  <c r="B32" i="11"/>
  <c r="AD32" i="11" s="1"/>
  <c r="B33" i="11"/>
  <c r="AD33" i="11" s="1"/>
  <c r="B34" i="11"/>
  <c r="AD34" i="11" s="1"/>
  <c r="B35" i="11"/>
  <c r="AD35" i="11" s="1"/>
  <c r="B36" i="11"/>
  <c r="AD36" i="11" s="1"/>
  <c r="B37" i="11"/>
  <c r="AD37" i="11" s="1"/>
  <c r="B28" i="11"/>
  <c r="AD28" i="11" s="1"/>
  <c r="B18" i="11"/>
  <c r="AD18" i="11" s="1"/>
  <c r="B19" i="11"/>
  <c r="AD19" i="11" s="1"/>
  <c r="B20" i="11"/>
  <c r="AD20" i="11" s="1"/>
  <c r="B21" i="11"/>
  <c r="AD21" i="11" s="1"/>
  <c r="B22" i="11"/>
  <c r="AD22" i="11" s="1"/>
  <c r="B23" i="11"/>
  <c r="AD23" i="11" s="1"/>
  <c r="B24" i="11"/>
  <c r="AD24" i="11" s="1"/>
  <c r="B25" i="11"/>
  <c r="AD25" i="11" s="1"/>
  <c r="B26" i="11"/>
  <c r="AD26" i="11" s="1"/>
  <c r="B17" i="11"/>
  <c r="AD17" i="11" s="1"/>
  <c r="C89" i="11"/>
  <c r="B89" i="11"/>
  <c r="AD89" i="11" s="1"/>
  <c r="C77" i="11"/>
  <c r="B77" i="11"/>
  <c r="AD77" i="11" s="1"/>
  <c r="C66" i="11"/>
  <c r="B66" i="11"/>
  <c r="AD66" i="11" s="1"/>
  <c r="C55" i="11"/>
  <c r="B55" i="11"/>
  <c r="AD55" i="11" s="1"/>
  <c r="C93" i="11"/>
  <c r="C81" i="11"/>
  <c r="C70" i="11"/>
  <c r="C59" i="11"/>
  <c r="B93" i="11"/>
  <c r="AD93" i="11" s="1"/>
  <c r="B81" i="11"/>
  <c r="AD81" i="11" s="1"/>
  <c r="B70" i="11"/>
  <c r="AD70" i="11" s="1"/>
  <c r="B59" i="11"/>
  <c r="AD59" i="11" s="1"/>
  <c r="C71" i="11"/>
  <c r="U2" i="11"/>
  <c r="L10" i="13"/>
  <c r="L12" i="13"/>
  <c r="C85" i="11"/>
  <c r="C86" i="11"/>
  <c r="C87" i="11"/>
  <c r="C88" i="11"/>
  <c r="C90" i="11"/>
  <c r="C91" i="11"/>
  <c r="C92" i="11"/>
  <c r="C94" i="11"/>
  <c r="C84" i="11"/>
  <c r="C73" i="11"/>
  <c r="C74" i="11"/>
  <c r="C75" i="11"/>
  <c r="C76" i="11"/>
  <c r="C78" i="11"/>
  <c r="C79" i="11"/>
  <c r="C80" i="11"/>
  <c r="C82" i="11"/>
  <c r="C72" i="11"/>
  <c r="C62" i="11"/>
  <c r="C63" i="11"/>
  <c r="C64" i="11"/>
  <c r="C65" i="11"/>
  <c r="C67" i="11"/>
  <c r="C68" i="11"/>
  <c r="C69" i="11"/>
  <c r="C61" i="11"/>
  <c r="B85" i="11"/>
  <c r="AD85" i="11" s="1"/>
  <c r="B86" i="11"/>
  <c r="AD86" i="11" s="1"/>
  <c r="B87" i="11"/>
  <c r="AD87" i="11" s="1"/>
  <c r="B88" i="11"/>
  <c r="AD88" i="11" s="1"/>
  <c r="B90" i="11"/>
  <c r="AD90" i="11" s="1"/>
  <c r="B91" i="11"/>
  <c r="AD91" i="11" s="1"/>
  <c r="B92" i="11"/>
  <c r="AD92" i="11" s="1"/>
  <c r="B94" i="11"/>
  <c r="AD94" i="11" s="1"/>
  <c r="B84" i="11"/>
  <c r="AD84" i="11" s="1"/>
  <c r="B73" i="11"/>
  <c r="AD73" i="11" s="1"/>
  <c r="B74" i="11"/>
  <c r="AD74" i="11" s="1"/>
  <c r="B75" i="11"/>
  <c r="AD75" i="11" s="1"/>
  <c r="B76" i="11"/>
  <c r="AD76" i="11" s="1"/>
  <c r="B78" i="11"/>
  <c r="AD78" i="11" s="1"/>
  <c r="B79" i="11"/>
  <c r="AD79" i="11" s="1"/>
  <c r="B80" i="11"/>
  <c r="AD80" i="11" s="1"/>
  <c r="B82" i="11"/>
  <c r="AD82" i="11" s="1"/>
  <c r="B72" i="11"/>
  <c r="AD72" i="11" s="1"/>
  <c r="B62" i="11"/>
  <c r="AD62" i="11" s="1"/>
  <c r="B63" i="11"/>
  <c r="AD63" i="11" s="1"/>
  <c r="B64" i="11"/>
  <c r="AD64" i="11" s="1"/>
  <c r="B65" i="11"/>
  <c r="AD65" i="11" s="1"/>
  <c r="B67" i="11"/>
  <c r="AD67" i="11" s="1"/>
  <c r="B68" i="11"/>
  <c r="AD68" i="11" s="1"/>
  <c r="B69" i="11"/>
  <c r="AD69" i="11" s="1"/>
  <c r="B61" i="11"/>
  <c r="AD61" i="11" s="1"/>
  <c r="T2" i="11"/>
  <c r="S2" i="11"/>
  <c r="E11" i="13"/>
  <c r="L13" i="13"/>
  <c r="L14" i="13"/>
  <c r="L6" i="13"/>
  <c r="B58" i="11"/>
  <c r="AD58" i="11" s="1"/>
  <c r="B57" i="11"/>
  <c r="AD57" i="11" s="1"/>
  <c r="B56" i="11"/>
  <c r="AD56" i="11" s="1"/>
  <c r="B54" i="11"/>
  <c r="AD54" i="11" s="1"/>
  <c r="B53" i="11"/>
  <c r="AD53" i="11" s="1"/>
  <c r="B52" i="11"/>
  <c r="AD52" i="11" s="1"/>
  <c r="B51" i="11"/>
  <c r="AD51" i="11" s="1"/>
  <c r="B50" i="11"/>
  <c r="AD50" i="11" s="1"/>
  <c r="C53" i="11"/>
  <c r="C51" i="11"/>
  <c r="C52" i="11"/>
  <c r="C54" i="11"/>
  <c r="C56" i="11"/>
  <c r="C57" i="11"/>
  <c r="C58" i="11"/>
  <c r="C50" i="11"/>
  <c r="C49" i="11"/>
  <c r="L92" i="13"/>
  <c r="L31" i="13"/>
  <c r="L90" i="13"/>
  <c r="L53" i="13"/>
  <c r="L75" i="13"/>
  <c r="L83" i="13"/>
  <c r="L41" i="13"/>
  <c r="L40" i="13"/>
  <c r="L33" i="13"/>
  <c r="L91" i="13"/>
  <c r="L43" i="13"/>
  <c r="L59" i="13"/>
  <c r="L80" i="13"/>
  <c r="L82" i="13"/>
  <c r="L28" i="13"/>
  <c r="L44" i="13"/>
  <c r="L19" i="13"/>
  <c r="L93" i="13"/>
  <c r="L55" i="13"/>
  <c r="L96" i="13"/>
  <c r="L46" i="13"/>
  <c r="L23" i="13"/>
  <c r="L30" i="13"/>
  <c r="L29" i="13"/>
  <c r="L60" i="13"/>
  <c r="L49" i="13"/>
  <c r="L54" i="13"/>
  <c r="L22" i="13"/>
  <c r="L52" i="13"/>
  <c r="L70" i="13"/>
  <c r="L76" i="13"/>
  <c r="L16" i="13"/>
  <c r="L24" i="13"/>
  <c r="L73" i="13"/>
  <c r="L65" i="13"/>
  <c r="L17" i="13"/>
  <c r="L99" i="13"/>
  <c r="L63" i="13"/>
  <c r="L48" i="13"/>
  <c r="L86" i="13"/>
  <c r="L32" i="13"/>
  <c r="L21" i="13"/>
  <c r="L26" i="13"/>
  <c r="L38" i="13"/>
  <c r="L97" i="13"/>
  <c r="L78" i="13"/>
  <c r="L42" i="13"/>
  <c r="L36" i="13"/>
  <c r="L61" i="13"/>
  <c r="L34" i="13"/>
  <c r="L7" i="13"/>
  <c r="J100" i="13"/>
  <c r="L11" i="13"/>
  <c r="L71" i="13"/>
  <c r="L74" i="13"/>
  <c r="L77" i="13"/>
  <c r="L89" i="13"/>
  <c r="L64" i="13"/>
  <c r="L8" i="13"/>
  <c r="L94" i="13"/>
  <c r="L45" i="13"/>
  <c r="L88" i="13"/>
  <c r="L68" i="13"/>
  <c r="L51" i="13"/>
  <c r="L57" i="13"/>
  <c r="L95" i="13"/>
  <c r="L50" i="13"/>
  <c r="L72" i="13"/>
  <c r="L27" i="13"/>
  <c r="L25" i="13"/>
  <c r="L62" i="13"/>
  <c r="L56" i="13"/>
  <c r="L35" i="13"/>
  <c r="L9" i="13"/>
  <c r="L37" i="13"/>
  <c r="L85" i="13"/>
  <c r="L15" i="13"/>
  <c r="L66" i="13"/>
  <c r="L69" i="13"/>
  <c r="L87" i="13"/>
  <c r="L84" i="13"/>
  <c r="L20" i="13"/>
  <c r="L67" i="13"/>
  <c r="L81" i="13"/>
  <c r="L18" i="13"/>
  <c r="L58" i="13"/>
  <c r="L39" i="13"/>
  <c r="L79" i="13"/>
  <c r="L98" i="13"/>
  <c r="L47" i="13"/>
  <c r="E99" i="13"/>
  <c r="E46" i="13"/>
  <c r="E94" i="13"/>
  <c r="E20" i="13"/>
  <c r="E50" i="13"/>
  <c r="E8" i="13"/>
  <c r="E44" i="13"/>
  <c r="E55" i="13"/>
  <c r="E36" i="13"/>
  <c r="E59" i="13"/>
  <c r="E13" i="13"/>
  <c r="E57" i="13"/>
  <c r="E21" i="13"/>
  <c r="E45" i="13"/>
  <c r="E87" i="13"/>
  <c r="E88" i="13"/>
  <c r="E63" i="13"/>
  <c r="E14" i="13"/>
  <c r="E82" i="13"/>
  <c r="E32" i="13"/>
  <c r="E27" i="13"/>
  <c r="E31" i="13"/>
  <c r="E90" i="13"/>
  <c r="E60" i="13"/>
  <c r="E15" i="13"/>
  <c r="E68" i="13"/>
  <c r="E41" i="13"/>
  <c r="E91" i="13"/>
  <c r="E17" i="13"/>
  <c r="E52" i="13"/>
  <c r="E38" i="13"/>
  <c r="E61" i="13"/>
  <c r="E54" i="13"/>
  <c r="E12" i="13"/>
  <c r="E9" i="13"/>
  <c r="E25" i="13"/>
  <c r="E40" i="13"/>
  <c r="E73" i="13"/>
  <c r="E43" i="13"/>
  <c r="E18" i="13"/>
  <c r="E89" i="13"/>
  <c r="E51" i="13"/>
  <c r="E6" i="13"/>
  <c r="E33" i="13"/>
  <c r="E10" i="13"/>
  <c r="E58" i="13"/>
  <c r="E19" i="13"/>
  <c r="E71" i="13"/>
  <c r="E76" i="13"/>
  <c r="E53" i="13"/>
  <c r="E77" i="13"/>
  <c r="E62" i="13"/>
  <c r="E48" i="13"/>
  <c r="E34" i="13"/>
  <c r="E67" i="13"/>
  <c r="E70" i="13"/>
  <c r="E69" i="13"/>
  <c r="E16" i="13"/>
  <c r="E78" i="13"/>
  <c r="E72" i="13"/>
  <c r="E47" i="13"/>
  <c r="E7" i="13"/>
  <c r="E65" i="13"/>
  <c r="E49" i="13"/>
  <c r="E37" i="13"/>
  <c r="E97" i="13"/>
  <c r="E22" i="13"/>
  <c r="E39" i="13"/>
  <c r="E92" i="13"/>
  <c r="E79" i="13"/>
  <c r="E98" i="13"/>
  <c r="E74" i="13"/>
  <c r="E30" i="13"/>
  <c r="E95" i="13"/>
  <c r="E64" i="13"/>
  <c r="E83" i="13"/>
  <c r="E93" i="13"/>
  <c r="E84" i="13"/>
  <c r="E29" i="13"/>
  <c r="E28" i="13"/>
  <c r="E85" i="13"/>
  <c r="E81" i="13"/>
  <c r="E86" i="13"/>
  <c r="E35" i="13"/>
  <c r="E66" i="13"/>
  <c r="E96" i="13"/>
  <c r="E26" i="13"/>
  <c r="E42" i="13"/>
  <c r="E56" i="13"/>
  <c r="E80" i="13"/>
  <c r="E24" i="13"/>
  <c r="E23" i="13"/>
  <c r="E75" i="13"/>
  <c r="C41" i="11"/>
  <c r="W44" i="12"/>
  <c r="Y44" i="12" s="1"/>
  <c r="AA44" i="12" s="1"/>
  <c r="C45" i="11"/>
  <c r="W43" i="12"/>
  <c r="W42" i="12"/>
  <c r="Y42" i="12" s="1"/>
  <c r="AA42" i="12" s="1"/>
  <c r="C44" i="11"/>
  <c r="C35" i="11"/>
  <c r="C30" i="11"/>
  <c r="C38" i="11"/>
  <c r="C31" i="11"/>
  <c r="W39" i="12"/>
  <c r="Y39" i="12" s="1"/>
  <c r="AA39" i="12" s="1"/>
  <c r="D112" i="18"/>
  <c r="D109" i="18"/>
  <c r="D23" i="18"/>
  <c r="D84" i="18"/>
  <c r="D101" i="18"/>
  <c r="D82" i="18"/>
  <c r="D85" i="18"/>
  <c r="D102" i="18"/>
  <c r="D90" i="18"/>
  <c r="R2" i="11"/>
  <c r="L4" i="13"/>
  <c r="D89" i="18"/>
  <c r="D29" i="18"/>
  <c r="D94" i="18"/>
  <c r="H94" i="18" s="1"/>
  <c r="E74" i="18"/>
  <c r="E75" i="18" s="1"/>
  <c r="H86" i="18"/>
  <c r="H143" i="18"/>
  <c r="G23" i="18"/>
  <c r="E99" i="18"/>
  <c r="C4" i="18"/>
  <c r="F110" i="18"/>
  <c r="D95" i="18"/>
  <c r="F95" i="18" s="1"/>
  <c r="D99" i="18"/>
  <c r="D98" i="18"/>
  <c r="D97" i="18"/>
  <c r="D93" i="18"/>
  <c r="H93" i="18" s="1"/>
  <c r="D110" i="18"/>
  <c r="D111" i="18" s="1"/>
  <c r="D43" i="18"/>
  <c r="E27" i="18"/>
  <c r="E23" i="18"/>
  <c r="H89" i="18"/>
  <c r="E29" i="18"/>
  <c r="H125" i="18"/>
  <c r="B17" i="18"/>
  <c r="B18" i="18" s="1"/>
  <c r="H129" i="18" s="1"/>
  <c r="X15" i="12"/>
  <c r="V14" i="12"/>
  <c r="W15" i="12"/>
  <c r="V15" i="12"/>
  <c r="Y15" i="12" s="1"/>
  <c r="AA15" i="12" s="1"/>
  <c r="W14" i="12"/>
  <c r="X14" i="12"/>
  <c r="F46" i="18"/>
  <c r="AN92" i="12"/>
  <c r="AN40" i="12"/>
  <c r="AC151" i="12"/>
  <c r="AC165" i="12"/>
  <c r="AA127" i="12"/>
  <c r="AC166" i="12"/>
  <c r="Y38" i="12"/>
  <c r="AA38" i="12" s="1"/>
  <c r="B44" i="18"/>
  <c r="Y77" i="12"/>
  <c r="AA77" i="12" s="1"/>
  <c r="Y54" i="12"/>
  <c r="AA54" i="12" s="1"/>
  <c r="Y45" i="12"/>
  <c r="AA45" i="12" s="1"/>
  <c r="Y78" i="12"/>
  <c r="AA78" i="12" s="1"/>
  <c r="Y76" i="12"/>
  <c r="AA76" i="12" s="1"/>
  <c r="AC155" i="12"/>
  <c r="AA70" i="12"/>
  <c r="AA84" i="12"/>
  <c r="AA93" i="12"/>
  <c r="AA180" i="12"/>
  <c r="Y91" i="12"/>
  <c r="AA91" i="12" s="1"/>
  <c r="B52" i="18"/>
  <c r="Y92" i="12"/>
  <c r="AA92" i="12" s="1"/>
  <c r="Y46" i="12"/>
  <c r="AA46" i="12" s="1"/>
  <c r="Y40" i="12"/>
  <c r="AA40" i="12"/>
  <c r="AC168" i="12"/>
  <c r="B43" i="18"/>
  <c r="AA85" i="12"/>
  <c r="Y47" i="12"/>
  <c r="AA47" i="12" s="1"/>
  <c r="Y55" i="12"/>
  <c r="AA55" i="12"/>
  <c r="Y97" i="12"/>
  <c r="AA97" i="12" s="1"/>
  <c r="Y22" i="12"/>
  <c r="AA22" i="12" s="1"/>
  <c r="B51" i="18"/>
  <c r="B45" i="18"/>
  <c r="G6" i="12"/>
  <c r="AC11" i="12"/>
  <c r="AN15" i="12" s="1"/>
  <c r="W135" i="11"/>
  <c r="W164" i="11"/>
  <c r="W133" i="11"/>
  <c r="W197" i="11"/>
  <c r="W174" i="11"/>
  <c r="W159" i="11"/>
  <c r="W136" i="11"/>
  <c r="W200" i="11"/>
  <c r="W179" i="11"/>
  <c r="W220" i="11"/>
  <c r="W218" i="11"/>
  <c r="W170" i="11"/>
  <c r="W206" i="11"/>
  <c r="W145" i="11"/>
  <c r="W215" i="11"/>
  <c r="W113" i="11"/>
  <c r="W114" i="11"/>
  <c r="W84" i="11"/>
  <c r="W101" i="11"/>
  <c r="W88" i="11"/>
  <c r="W64" i="11"/>
  <c r="W69" i="11"/>
  <c r="W57" i="11"/>
  <c r="W45" i="11"/>
  <c r="W23" i="11"/>
  <c r="W25" i="11"/>
  <c r="W29" i="11"/>
  <c r="W10" i="11"/>
  <c r="W150" i="11"/>
  <c r="W199" i="11"/>
  <c r="W176" i="11"/>
  <c r="W155" i="11"/>
  <c r="W225" i="11"/>
  <c r="W121" i="11"/>
  <c r="W90" i="11"/>
  <c r="W51" i="11"/>
  <c r="W6" i="11"/>
  <c r="W207" i="11"/>
  <c r="W80" i="11"/>
  <c r="W33" i="11"/>
  <c r="W222" i="11"/>
  <c r="W172" i="11"/>
  <c r="W141" i="11"/>
  <c r="W118" i="11"/>
  <c r="W182" i="11"/>
  <c r="W167" i="11"/>
  <c r="W144" i="11"/>
  <c r="W123" i="11"/>
  <c r="W187" i="11"/>
  <c r="W228" i="11"/>
  <c r="W226" i="11"/>
  <c r="W178" i="11"/>
  <c r="W212" i="11"/>
  <c r="W153" i="11"/>
  <c r="W223" i="11"/>
  <c r="W79" i="11"/>
  <c r="W95" i="11"/>
  <c r="W92" i="11"/>
  <c r="W109" i="11"/>
  <c r="W96" i="11"/>
  <c r="W58" i="11"/>
  <c r="W56" i="11"/>
  <c r="W40" i="11"/>
  <c r="W46" i="11"/>
  <c r="W31" i="11"/>
  <c r="W12" i="11"/>
  <c r="W37" i="11"/>
  <c r="W18" i="11"/>
  <c r="W173" i="11"/>
  <c r="W146" i="11"/>
  <c r="W107" i="11"/>
  <c r="W41" i="11"/>
  <c r="W137" i="11"/>
  <c r="W67" i="11"/>
  <c r="W26" i="11"/>
  <c r="W116" i="11"/>
  <c r="W180" i="11"/>
  <c r="W149" i="11"/>
  <c r="W126" i="11"/>
  <c r="W190" i="11"/>
  <c r="W175" i="11"/>
  <c r="W152" i="11"/>
  <c r="W131" i="11"/>
  <c r="W195" i="11"/>
  <c r="W230" i="11"/>
  <c r="W122" i="11"/>
  <c r="W186" i="11"/>
  <c r="W213" i="11"/>
  <c r="W161" i="11"/>
  <c r="W221" i="11"/>
  <c r="W111" i="11"/>
  <c r="W75" i="11"/>
  <c r="W100" i="11"/>
  <c r="W78" i="11"/>
  <c r="W104" i="11"/>
  <c r="W66" i="11"/>
  <c r="W72" i="11"/>
  <c r="W48" i="11"/>
  <c r="W39" i="11"/>
  <c r="W8" i="11"/>
  <c r="W20" i="11"/>
  <c r="W22" i="11"/>
  <c r="W34" i="11"/>
  <c r="W204" i="11"/>
  <c r="W219" i="11"/>
  <c r="W102" i="11"/>
  <c r="W9" i="11"/>
  <c r="W93" i="11"/>
  <c r="W55" i="11"/>
  <c r="W124" i="11"/>
  <c r="W188" i="11"/>
  <c r="W157" i="11"/>
  <c r="W134" i="11"/>
  <c r="W198" i="11"/>
  <c r="W183" i="11"/>
  <c r="W160" i="11"/>
  <c r="W139" i="11"/>
  <c r="W203" i="11"/>
  <c r="W209" i="11"/>
  <c r="W130" i="11"/>
  <c r="W194" i="11"/>
  <c r="W229" i="11"/>
  <c r="W169" i="11"/>
  <c r="W73" i="11"/>
  <c r="W74" i="11"/>
  <c r="W91" i="11"/>
  <c r="W108" i="11"/>
  <c r="W86" i="11"/>
  <c r="W112" i="11"/>
  <c r="W52" i="11"/>
  <c r="W65" i="11"/>
  <c r="W42" i="11"/>
  <c r="W47" i="11"/>
  <c r="W24" i="11"/>
  <c r="W28" i="11"/>
  <c r="W11" i="11"/>
  <c r="W4" i="11"/>
  <c r="W127" i="11"/>
  <c r="W208" i="11"/>
  <c r="W89" i="11"/>
  <c r="W77" i="11"/>
  <c r="W62" i="11"/>
  <c r="W5" i="11"/>
  <c r="W105" i="11"/>
  <c r="W44" i="11"/>
  <c r="W132" i="11"/>
  <c r="W196" i="11"/>
  <c r="W165" i="11"/>
  <c r="W142" i="11"/>
  <c r="W119" i="11"/>
  <c r="W191" i="11"/>
  <c r="W168" i="11"/>
  <c r="W147" i="11"/>
  <c r="W201" i="11"/>
  <c r="W217" i="11"/>
  <c r="W138" i="11"/>
  <c r="W211" i="11"/>
  <c r="W214" i="11"/>
  <c r="W177" i="11"/>
  <c r="W81" i="11"/>
  <c r="W82" i="11"/>
  <c r="W99" i="11"/>
  <c r="W103" i="11"/>
  <c r="W94" i="11"/>
  <c r="W87" i="11"/>
  <c r="W68" i="11"/>
  <c r="W54" i="11"/>
  <c r="W50" i="11"/>
  <c r="W14" i="11"/>
  <c r="W32" i="11"/>
  <c r="W36" i="11"/>
  <c r="W19" i="11"/>
  <c r="W140" i="11"/>
  <c r="W185" i="11"/>
  <c r="W63" i="11"/>
  <c r="W30" i="11"/>
  <c r="W76" i="11"/>
  <c r="W15" i="11"/>
  <c r="W148" i="11"/>
  <c r="W117" i="11"/>
  <c r="W181" i="11"/>
  <c r="W158" i="11"/>
  <c r="W143" i="11"/>
  <c r="W120" i="11"/>
  <c r="W184" i="11"/>
  <c r="W163" i="11"/>
  <c r="W216" i="11"/>
  <c r="W202" i="11"/>
  <c r="W154" i="11"/>
  <c r="W227" i="11"/>
  <c r="W129" i="11"/>
  <c r="W193" i="11"/>
  <c r="W97" i="11"/>
  <c r="W98" i="11"/>
  <c r="W115" i="11"/>
  <c r="W85" i="11"/>
  <c r="W110" i="11"/>
  <c r="W59" i="11"/>
  <c r="W53" i="11"/>
  <c r="W70" i="11"/>
  <c r="W43" i="11"/>
  <c r="W7" i="11"/>
  <c r="W17" i="11"/>
  <c r="W13" i="11"/>
  <c r="W35" i="11"/>
  <c r="W156" i="11"/>
  <c r="W125" i="11"/>
  <c r="W189" i="11"/>
  <c r="W166" i="11"/>
  <c r="W151" i="11"/>
  <c r="W128" i="11"/>
  <c r="W192" i="11"/>
  <c r="W171" i="11"/>
  <c r="W224" i="11"/>
  <c r="W210" i="11"/>
  <c r="W162" i="11"/>
  <c r="W205" i="11"/>
  <c r="W106" i="11"/>
  <c r="W61" i="11"/>
  <c r="W21" i="11"/>
  <c r="AA180" i="11"/>
  <c r="AC192" i="11"/>
  <c r="AC194" i="11"/>
  <c r="AC190" i="11"/>
  <c r="AC185" i="11"/>
  <c r="AA181" i="11"/>
  <c r="AC222" i="11"/>
  <c r="AB227" i="11"/>
  <c r="AB188" i="11"/>
  <c r="AB182" i="11"/>
  <c r="AC189" i="11"/>
  <c r="AC223" i="11"/>
  <c r="AB136" i="11"/>
  <c r="AB193" i="11"/>
  <c r="AB230" i="11"/>
  <c r="AB226" i="11"/>
  <c r="AB187" i="11"/>
  <c r="AC193" i="11"/>
  <c r="AB180" i="11"/>
  <c r="AA167" i="11"/>
  <c r="AB191" i="11"/>
  <c r="AB196" i="11"/>
  <c r="AA230" i="11"/>
  <c r="AA223" i="11"/>
  <c r="AC228" i="11"/>
  <c r="AA183" i="11"/>
  <c r="AA194" i="11"/>
  <c r="AA166" i="11"/>
  <c r="AA185" i="11"/>
  <c r="AB192" i="11"/>
  <c r="AC186" i="11"/>
  <c r="AB181" i="11"/>
  <c r="AB222" i="11"/>
  <c r="AC227" i="11"/>
  <c r="AC188" i="11"/>
  <c r="AA182" i="11"/>
  <c r="AA189" i="11"/>
  <c r="AC136" i="11"/>
  <c r="AB194" i="11"/>
  <c r="AB185" i="11"/>
  <c r="AC181" i="11"/>
  <c r="AB190" i="11"/>
  <c r="AB179" i="11"/>
  <c r="AB195" i="11"/>
  <c r="AA225" i="11"/>
  <c r="AA228" i="11"/>
  <c r="AA165" i="11"/>
  <c r="AC166" i="11"/>
  <c r="AB184" i="11"/>
  <c r="AB229" i="11"/>
  <c r="AA135" i="11"/>
  <c r="AB167" i="11"/>
  <c r="AA187" i="11"/>
  <c r="AC180" i="11"/>
  <c r="AC191" i="11"/>
  <c r="AB135" i="11"/>
  <c r="AA227" i="11"/>
  <c r="AB189" i="11"/>
  <c r="AC224" i="11"/>
  <c r="AC230" i="11"/>
  <c r="AC179" i="11"/>
  <c r="AC225" i="11"/>
  <c r="AB228" i="11"/>
  <c r="AB166" i="11"/>
  <c r="AB186" i="11"/>
  <c r="AC187" i="11"/>
  <c r="AA188" i="11"/>
  <c r="AC167" i="11"/>
  <c r="AB224" i="11"/>
  <c r="AA195" i="11"/>
  <c r="AC165" i="11"/>
  <c r="AA184" i="11"/>
  <c r="AA229" i="11"/>
  <c r="AC226" i="11"/>
  <c r="AA136" i="11"/>
  <c r="AA190" i="11"/>
  <c r="AC195" i="11"/>
  <c r="AC183" i="11"/>
  <c r="AC184" i="11"/>
  <c r="AC229" i="11"/>
  <c r="AA196" i="11"/>
  <c r="AA179" i="11"/>
  <c r="AA191" i="11"/>
  <c r="AC135" i="11"/>
  <c r="AB225" i="11"/>
  <c r="AA192" i="11"/>
  <c r="AC182" i="11"/>
  <c r="AB223" i="11"/>
  <c r="AA186" i="11"/>
  <c r="AB183" i="11"/>
  <c r="AA193" i="11"/>
  <c r="AA222" i="11"/>
  <c r="AC196" i="11"/>
  <c r="AA226" i="11"/>
  <c r="AB165" i="11"/>
  <c r="AA224" i="11"/>
  <c r="D47" i="16"/>
  <c r="AE224" i="11" l="1"/>
  <c r="AE226" i="11"/>
  <c r="AE222" i="11"/>
  <c r="AE193" i="11"/>
  <c r="AE186" i="11"/>
  <c r="AE192" i="11"/>
  <c r="AE191" i="11"/>
  <c r="AE179" i="11"/>
  <c r="AE196" i="11"/>
  <c r="AE190" i="11"/>
  <c r="AE136" i="11"/>
  <c r="AE229" i="11"/>
  <c r="AE184" i="11"/>
  <c r="AE195" i="11"/>
  <c r="AE188" i="11"/>
  <c r="AE227" i="11"/>
  <c r="AE187" i="11"/>
  <c r="AE135" i="11"/>
  <c r="AE165" i="11"/>
  <c r="AE228" i="11"/>
  <c r="AE225" i="11"/>
  <c r="AE189" i="11"/>
  <c r="AE182" i="11"/>
  <c r="AE185" i="11"/>
  <c r="AE166" i="11"/>
  <c r="AE194" i="11"/>
  <c r="AE183" i="11"/>
  <c r="AE223" i="11"/>
  <c r="AE230" i="11"/>
  <c r="AE167" i="11"/>
  <c r="AE181" i="11"/>
  <c r="AE180" i="11"/>
  <c r="Y21" i="11"/>
  <c r="X21" i="11"/>
  <c r="Z21" i="11" s="1"/>
  <c r="Y61" i="11"/>
  <c r="X61" i="11"/>
  <c r="Z61" i="11" s="1"/>
  <c r="X106" i="11"/>
  <c r="Z106" i="11" s="1"/>
  <c r="Y106" i="11"/>
  <c r="X205" i="11"/>
  <c r="Z205" i="11" s="1"/>
  <c r="Y205" i="11"/>
  <c r="Y162" i="11"/>
  <c r="Z162" i="11" s="1"/>
  <c r="X162" i="11"/>
  <c r="Y210" i="11"/>
  <c r="X210" i="11"/>
  <c r="X171" i="11"/>
  <c r="Z171" i="11" s="1"/>
  <c r="Y171" i="11"/>
  <c r="Y128" i="11"/>
  <c r="X128" i="11"/>
  <c r="X151" i="11"/>
  <c r="Y151" i="11"/>
  <c r="X125" i="11"/>
  <c r="Y125" i="11"/>
  <c r="X156" i="11"/>
  <c r="Z156" i="11" s="1"/>
  <c r="Y156" i="11"/>
  <c r="X35" i="11"/>
  <c r="Y35" i="11"/>
  <c r="Z35" i="11"/>
  <c r="Y13" i="11"/>
  <c r="X13" i="11"/>
  <c r="Z13" i="11"/>
  <c r="Y17" i="11"/>
  <c r="X17" i="11"/>
  <c r="X7" i="11"/>
  <c r="Y7" i="11"/>
  <c r="Z7" i="11"/>
  <c r="Y43" i="11"/>
  <c r="X43" i="11"/>
  <c r="X70" i="11"/>
  <c r="Z70" i="11" s="1"/>
  <c r="Y70" i="11"/>
  <c r="Y53" i="11"/>
  <c r="X53" i="11"/>
  <c r="Z53" i="11" s="1"/>
  <c r="Y59" i="11"/>
  <c r="X59" i="11"/>
  <c r="Z59" i="11" s="1"/>
  <c r="X110" i="11"/>
  <c r="Y110" i="11"/>
  <c r="Z110" i="11"/>
  <c r="Y85" i="11"/>
  <c r="Z85" i="11" s="1"/>
  <c r="X85" i="11"/>
  <c r="X115" i="11"/>
  <c r="Y115" i="11"/>
  <c r="X98" i="11"/>
  <c r="Y98" i="11"/>
  <c r="Z98" i="11"/>
  <c r="X97" i="11"/>
  <c r="Y97" i="11"/>
  <c r="Y129" i="11"/>
  <c r="Z129" i="11" s="1"/>
  <c r="X129" i="11"/>
  <c r="Y154" i="11"/>
  <c r="X154" i="11"/>
  <c r="Y202" i="11"/>
  <c r="X202" i="11"/>
  <c r="Z202" i="11" s="1"/>
  <c r="X216" i="11"/>
  <c r="Z216" i="11" s="1"/>
  <c r="Y216" i="11"/>
  <c r="X163" i="11"/>
  <c r="Y163" i="11"/>
  <c r="Z163" i="11" s="1"/>
  <c r="Y120" i="11"/>
  <c r="X120" i="11"/>
  <c r="Z120" i="11" s="1"/>
  <c r="X143" i="11"/>
  <c r="Z143" i="11" s="1"/>
  <c r="Y143" i="11"/>
  <c r="X158" i="11"/>
  <c r="Y158" i="11"/>
  <c r="Z158" i="11" s="1"/>
  <c r="X117" i="11"/>
  <c r="Z117" i="11" s="1"/>
  <c r="Y117" i="11"/>
  <c r="X148" i="11"/>
  <c r="Z148" i="11" s="1"/>
  <c r="Y148" i="11"/>
  <c r="X15" i="11"/>
  <c r="Y15" i="11"/>
  <c r="X76" i="11"/>
  <c r="Y76" i="11"/>
  <c r="Z76" i="11" s="1"/>
  <c r="X30" i="11"/>
  <c r="Y30" i="11"/>
  <c r="Z30" i="11" s="1"/>
  <c r="Y63" i="11"/>
  <c r="X63" i="11"/>
  <c r="Z63" i="11" s="1"/>
  <c r="X140" i="11"/>
  <c r="Y140" i="11"/>
  <c r="Z140" i="11" s="1"/>
  <c r="X19" i="11"/>
  <c r="Y19" i="11"/>
  <c r="Z19" i="11" s="1"/>
  <c r="X36" i="11"/>
  <c r="Z36" i="11" s="1"/>
  <c r="Y36" i="11"/>
  <c r="X32" i="11"/>
  <c r="Z32" i="11" s="1"/>
  <c r="Y32" i="11"/>
  <c r="X14" i="11"/>
  <c r="Z14" i="11" s="1"/>
  <c r="Y14" i="11"/>
  <c r="X50" i="11"/>
  <c r="Y50" i="11"/>
  <c r="Z50" i="11" s="1"/>
  <c r="X54" i="11"/>
  <c r="Z54" i="11" s="1"/>
  <c r="Y54" i="11"/>
  <c r="X68" i="11"/>
  <c r="Z68" i="11" s="1"/>
  <c r="Y68" i="11"/>
  <c r="X87" i="11"/>
  <c r="Y87" i="11"/>
  <c r="Z87" i="11" s="1"/>
  <c r="Y94" i="11"/>
  <c r="X94" i="11"/>
  <c r="Z94" i="11" s="1"/>
  <c r="X103" i="11"/>
  <c r="Y103" i="11"/>
  <c r="Y99" i="11"/>
  <c r="X99" i="11"/>
  <c r="Y82" i="11"/>
  <c r="X82" i="11"/>
  <c r="Y81" i="11"/>
  <c r="X81" i="11"/>
  <c r="Z81" i="11" s="1"/>
  <c r="Y177" i="11"/>
  <c r="X177" i="11"/>
  <c r="Z177" i="11" s="1"/>
  <c r="X214" i="11"/>
  <c r="Z214" i="11" s="1"/>
  <c r="Y214" i="11"/>
  <c r="Y211" i="11"/>
  <c r="X211" i="11"/>
  <c r="Z211" i="11" s="1"/>
  <c r="Y138" i="11"/>
  <c r="X138" i="11"/>
  <c r="X217" i="11"/>
  <c r="Y217" i="11"/>
  <c r="Y201" i="11"/>
  <c r="X201" i="11"/>
  <c r="X147" i="11"/>
  <c r="Z147" i="11" s="1"/>
  <c r="Y147" i="11"/>
  <c r="Y168" i="11"/>
  <c r="X168" i="11"/>
  <c r="Z168" i="11" s="1"/>
  <c r="X119" i="11"/>
  <c r="Z119" i="11" s="1"/>
  <c r="Y119" i="11"/>
  <c r="X142" i="11"/>
  <c r="Z142" i="11" s="1"/>
  <c r="Y142" i="11"/>
  <c r="X132" i="11"/>
  <c r="Z132" i="11" s="1"/>
  <c r="Y132" i="11"/>
  <c r="X44" i="11"/>
  <c r="Y44" i="11"/>
  <c r="X105" i="11"/>
  <c r="Y105" i="11"/>
  <c r="X5" i="11"/>
  <c r="Y5" i="11"/>
  <c r="X62" i="11"/>
  <c r="Z62" i="11" s="1"/>
  <c r="Y62" i="11"/>
  <c r="Y77" i="11"/>
  <c r="X77" i="11"/>
  <c r="Z77" i="11" s="1"/>
  <c r="X89" i="11"/>
  <c r="Y89" i="11"/>
  <c r="Z89" i="11"/>
  <c r="X208" i="11"/>
  <c r="Z208" i="11" s="1"/>
  <c r="Y208" i="11"/>
  <c r="X127" i="11"/>
  <c r="Z127" i="11" s="1"/>
  <c r="Y127" i="11"/>
  <c r="X4" i="11"/>
  <c r="Y4" i="11"/>
  <c r="Y11" i="11"/>
  <c r="X11" i="11"/>
  <c r="Y28" i="11"/>
  <c r="X28" i="11"/>
  <c r="Z28" i="11" s="1"/>
  <c r="Y24" i="11"/>
  <c r="X24" i="11"/>
  <c r="X47" i="11"/>
  <c r="Y47" i="11"/>
  <c r="Z47" i="11"/>
  <c r="X42" i="11"/>
  <c r="Y42" i="11"/>
  <c r="Z42" i="11"/>
  <c r="Y65" i="11"/>
  <c r="X65" i="11"/>
  <c r="X52" i="11"/>
  <c r="Y52" i="11"/>
  <c r="Z52" i="11"/>
  <c r="X112" i="11"/>
  <c r="Y112" i="11"/>
  <c r="X86" i="11"/>
  <c r="Z86" i="11" s="1"/>
  <c r="Y86" i="11"/>
  <c r="X108" i="11"/>
  <c r="Y108" i="11"/>
  <c r="X91" i="11"/>
  <c r="Y91" i="11"/>
  <c r="X74" i="11"/>
  <c r="Y74" i="11"/>
  <c r="Z74" i="11"/>
  <c r="X73" i="11"/>
  <c r="Z73" i="11" s="1"/>
  <c r="Y73" i="11"/>
  <c r="Y169" i="11"/>
  <c r="X169" i="11"/>
  <c r="Z169" i="11" s="1"/>
  <c r="Y130" i="11"/>
  <c r="X130" i="11"/>
  <c r="X209" i="11"/>
  <c r="Y209" i="11"/>
  <c r="Y203" i="11"/>
  <c r="X203" i="11"/>
  <c r="Z203" i="11" s="1"/>
  <c r="X139" i="11"/>
  <c r="Z139" i="11" s="1"/>
  <c r="Y139" i="11"/>
  <c r="X160" i="11"/>
  <c r="Y160" i="11"/>
  <c r="X198" i="11"/>
  <c r="Z198" i="11" s="1"/>
  <c r="Y198" i="11"/>
  <c r="X134" i="11"/>
  <c r="Y134" i="11"/>
  <c r="Z134" i="11" s="1"/>
  <c r="X157" i="11"/>
  <c r="Y157" i="11"/>
  <c r="X124" i="11"/>
  <c r="Y124" i="11"/>
  <c r="X55" i="11"/>
  <c r="Y55" i="11"/>
  <c r="Z55" i="11" s="1"/>
  <c r="Y93" i="11"/>
  <c r="X93" i="11"/>
  <c r="Z93" i="11" s="1"/>
  <c r="Y9" i="11"/>
  <c r="X9" i="11"/>
  <c r="X102" i="11"/>
  <c r="Y102" i="11"/>
  <c r="Y219" i="11"/>
  <c r="X219" i="11"/>
  <c r="Z219" i="11" s="1"/>
  <c r="X204" i="11"/>
  <c r="Y204" i="11"/>
  <c r="Z204" i="11" s="1"/>
  <c r="Y34" i="11"/>
  <c r="Z34" i="11" s="1"/>
  <c r="X34" i="11"/>
  <c r="X22" i="11"/>
  <c r="Y22" i="11"/>
  <c r="Z22" i="11" s="1"/>
  <c r="X20" i="11"/>
  <c r="Y20" i="11"/>
  <c r="Z20" i="11" s="1"/>
  <c r="X8" i="11"/>
  <c r="Z8" i="11" s="1"/>
  <c r="Y8" i="11"/>
  <c r="X39" i="11"/>
  <c r="Y39" i="11"/>
  <c r="X48" i="11"/>
  <c r="Z48" i="11" s="1"/>
  <c r="Y48" i="11"/>
  <c r="Y72" i="11"/>
  <c r="X72" i="11"/>
  <c r="Z72" i="11" s="1"/>
  <c r="Y66" i="11"/>
  <c r="Z66" i="11" s="1"/>
  <c r="X66" i="11"/>
  <c r="X104" i="11"/>
  <c r="Z104" i="11" s="1"/>
  <c r="Y104" i="11"/>
  <c r="Y78" i="11"/>
  <c r="X78" i="11"/>
  <c r="Z78" i="11" s="1"/>
  <c r="X100" i="11"/>
  <c r="Y100" i="11"/>
  <c r="X75" i="11"/>
  <c r="Y75" i="11"/>
  <c r="Z75" i="11"/>
  <c r="Y111" i="11"/>
  <c r="X111" i="11"/>
  <c r="Z111" i="11" s="1"/>
  <c r="Y221" i="11"/>
  <c r="X221" i="11"/>
  <c r="Y161" i="11"/>
  <c r="Z161" i="11" s="1"/>
  <c r="X161" i="11"/>
  <c r="X213" i="11"/>
  <c r="Z213" i="11" s="1"/>
  <c r="Y213" i="11"/>
  <c r="Y122" i="11"/>
  <c r="Z122" i="11" s="1"/>
  <c r="X122" i="11"/>
  <c r="X131" i="11"/>
  <c r="Y131" i="11"/>
  <c r="Y152" i="11"/>
  <c r="X152" i="11"/>
  <c r="Z152" i="11" s="1"/>
  <c r="X175" i="11"/>
  <c r="Y175" i="11"/>
  <c r="Z175" i="11"/>
  <c r="X126" i="11"/>
  <c r="Z126" i="11" s="1"/>
  <c r="Y126" i="11"/>
  <c r="X149" i="11"/>
  <c r="Y149" i="11"/>
  <c r="X116" i="11"/>
  <c r="Z116" i="11" s="1"/>
  <c r="Y116" i="11"/>
  <c r="Y26" i="11"/>
  <c r="X26" i="11"/>
  <c r="Z26" i="11" s="1"/>
  <c r="X67" i="11"/>
  <c r="Y67" i="11"/>
  <c r="Y137" i="11"/>
  <c r="X137" i="11"/>
  <c r="Y41" i="11"/>
  <c r="X41" i="11"/>
  <c r="Z41" i="11" s="1"/>
  <c r="X107" i="11"/>
  <c r="Z107" i="11" s="1"/>
  <c r="Y107" i="11"/>
  <c r="Y146" i="11"/>
  <c r="X146" i="11"/>
  <c r="Z146" i="11" s="1"/>
  <c r="Y173" i="11"/>
  <c r="X173" i="11"/>
  <c r="Z173" i="11" s="1"/>
  <c r="Y18" i="11"/>
  <c r="X18" i="11"/>
  <c r="Z18" i="11" s="1"/>
  <c r="Y37" i="11"/>
  <c r="X37" i="11"/>
  <c r="Z37" i="11"/>
  <c r="Y12" i="11"/>
  <c r="X12" i="11"/>
  <c r="Z12" i="11" s="1"/>
  <c r="X31" i="11"/>
  <c r="Y31" i="11"/>
  <c r="X46" i="11"/>
  <c r="Z46" i="11" s="1"/>
  <c r="Y46" i="11"/>
  <c r="X40" i="11"/>
  <c r="Z40" i="11" s="1"/>
  <c r="Y40" i="11"/>
  <c r="X56" i="11"/>
  <c r="Y56" i="11"/>
  <c r="X58" i="11"/>
  <c r="Z58" i="11" s="1"/>
  <c r="Y58" i="11"/>
  <c r="X96" i="11"/>
  <c r="Y96" i="11"/>
  <c r="Z96" i="11" s="1"/>
  <c r="Y109" i="11"/>
  <c r="Z109" i="11" s="1"/>
  <c r="X109" i="11"/>
  <c r="X92" i="11"/>
  <c r="Z92" i="11" s="1"/>
  <c r="Y92" i="11"/>
  <c r="Y95" i="11"/>
  <c r="X95" i="11"/>
  <c r="Y79" i="11"/>
  <c r="X79" i="11"/>
  <c r="Z79" i="11" s="1"/>
  <c r="Y153" i="11"/>
  <c r="X153" i="11"/>
  <c r="Z153" i="11"/>
  <c r="Y212" i="11"/>
  <c r="X212" i="11"/>
  <c r="Y178" i="11"/>
  <c r="X178" i="11"/>
  <c r="Z178" i="11" s="1"/>
  <c r="X123" i="11"/>
  <c r="Y123" i="11"/>
  <c r="Y144" i="11"/>
  <c r="X144" i="11"/>
  <c r="Z144" i="11" s="1"/>
  <c r="X118" i="11"/>
  <c r="Z118" i="11" s="1"/>
  <c r="Y118" i="11"/>
  <c r="X141" i="11"/>
  <c r="Y141" i="11"/>
  <c r="Y172" i="11"/>
  <c r="X172" i="11"/>
  <c r="Z172" i="11" s="1"/>
  <c r="X33" i="11"/>
  <c r="Z33" i="11" s="1"/>
  <c r="Y33" i="11"/>
  <c r="X80" i="11"/>
  <c r="Y80" i="11"/>
  <c r="X207" i="11"/>
  <c r="Z207" i="11" s="1"/>
  <c r="Y207" i="11"/>
  <c r="X6" i="11"/>
  <c r="Y6" i="11"/>
  <c r="Z6" i="11" s="1"/>
  <c r="X51" i="11"/>
  <c r="Z51" i="11" s="1"/>
  <c r="Y51" i="11"/>
  <c r="X90" i="11"/>
  <c r="Z90" i="11" s="1"/>
  <c r="Y90" i="11"/>
  <c r="Y121" i="11"/>
  <c r="X121" i="11"/>
  <c r="Z121" i="11" s="1"/>
  <c r="X155" i="11"/>
  <c r="Z155" i="11" s="1"/>
  <c r="Y155" i="11"/>
  <c r="Y176" i="11"/>
  <c r="X176" i="11"/>
  <c r="Z176" i="11"/>
  <c r="Y199" i="11"/>
  <c r="X199" i="11"/>
  <c r="Z199" i="11" s="1"/>
  <c r="X150" i="11"/>
  <c r="Z150" i="11" s="1"/>
  <c r="Y150" i="11"/>
  <c r="Y10" i="11"/>
  <c r="X10" i="11"/>
  <c r="Y29" i="11"/>
  <c r="X29" i="11"/>
  <c r="Z29" i="11" s="1"/>
  <c r="Y25" i="11"/>
  <c r="X25" i="11"/>
  <c r="Z25" i="11" s="1"/>
  <c r="X23" i="11"/>
  <c r="Z23" i="11" s="1"/>
  <c r="Y23" i="11"/>
  <c r="X45" i="11"/>
  <c r="Y45" i="11"/>
  <c r="Y57" i="11"/>
  <c r="X57" i="11"/>
  <c r="Z57" i="11"/>
  <c r="Y69" i="11"/>
  <c r="X69" i="11"/>
  <c r="Y64" i="11"/>
  <c r="X64" i="11"/>
  <c r="Z64" i="11" s="1"/>
  <c r="X88" i="11"/>
  <c r="Z88" i="11" s="1"/>
  <c r="Y88" i="11"/>
  <c r="Y101" i="11"/>
  <c r="X101" i="11"/>
  <c r="Z101" i="11" s="1"/>
  <c r="X84" i="11"/>
  <c r="Z84" i="11" s="1"/>
  <c r="Y84" i="11"/>
  <c r="X114" i="11"/>
  <c r="Z114" i="11" s="1"/>
  <c r="Y114" i="11"/>
  <c r="X113" i="11"/>
  <c r="Y113" i="11"/>
  <c r="X215" i="11"/>
  <c r="Z215" i="11" s="1"/>
  <c r="Y215" i="11"/>
  <c r="X145" i="11"/>
  <c r="Y145" i="11"/>
  <c r="Y206" i="11"/>
  <c r="X206" i="11"/>
  <c r="Z206" i="11" s="1"/>
  <c r="X170" i="11"/>
  <c r="Z170" i="11" s="1"/>
  <c r="Y170" i="11"/>
  <c r="Y218" i="11"/>
  <c r="Z218" i="11" s="1"/>
  <c r="X218" i="11"/>
  <c r="Y220" i="11"/>
  <c r="Z220" i="11" s="1"/>
  <c r="X220" i="11"/>
  <c r="X200" i="11"/>
  <c r="Z200" i="11" s="1"/>
  <c r="Y200" i="11"/>
  <c r="X159" i="11"/>
  <c r="Z159" i="11" s="1"/>
  <c r="Y159" i="11"/>
  <c r="Y174" i="11"/>
  <c r="X174" i="11"/>
  <c r="Z174" i="11" s="1"/>
  <c r="X197" i="11"/>
  <c r="Y197" i="11"/>
  <c r="X133" i="11"/>
  <c r="Z133" i="11" s="1"/>
  <c r="Y133" i="11"/>
  <c r="X164" i="11"/>
  <c r="Y164" i="11"/>
  <c r="AA61" i="12"/>
  <c r="D194" i="12"/>
  <c r="D192" i="12"/>
  <c r="Y21" i="12"/>
  <c r="AA21" i="12" s="1"/>
  <c r="Y14" i="12"/>
  <c r="F111" i="18"/>
  <c r="E25" i="18"/>
  <c r="F24" i="18"/>
  <c r="H90" i="18"/>
  <c r="E101" i="18"/>
  <c r="H101" i="18" s="1"/>
  <c r="H60" i="18"/>
  <c r="F71" i="18"/>
  <c r="H71" i="18" s="1"/>
  <c r="E110" i="18"/>
  <c r="H110" i="18" s="1"/>
  <c r="F37" i="18"/>
  <c r="H37" i="18" s="1"/>
  <c r="I37" i="18" s="1"/>
  <c r="F102" i="18"/>
  <c r="H102" i="18" s="1"/>
  <c r="H156" i="18"/>
  <c r="F99" i="18"/>
  <c r="H61" i="18"/>
  <c r="H97" i="18"/>
  <c r="F23" i="18"/>
  <c r="H114" i="18"/>
  <c r="H145" i="18"/>
  <c r="H98" i="18"/>
  <c r="E43" i="18"/>
  <c r="H91" i="18"/>
  <c r="H99" i="18"/>
  <c r="F123" i="18"/>
  <c r="G123" i="18" s="1"/>
  <c r="H123" i="18" s="1"/>
  <c r="H137" i="18" s="1"/>
  <c r="H63" i="18"/>
  <c r="H118" i="18"/>
  <c r="H64" i="18"/>
  <c r="H159" i="18"/>
  <c r="H85" i="18"/>
  <c r="H68" i="18"/>
  <c r="H116" i="18"/>
  <c r="E36" i="18"/>
  <c r="H88" i="18"/>
  <c r="H151" i="18"/>
  <c r="Q2" i="11"/>
  <c r="D188" i="12"/>
  <c r="AA14" i="12"/>
  <c r="AN72" i="12"/>
  <c r="C3" i="11"/>
  <c r="AE15" i="12"/>
  <c r="C100" i="13"/>
  <c r="E4" i="13"/>
  <c r="D100" i="13"/>
  <c r="Q6" i="13" s="1"/>
  <c r="H95" i="18"/>
  <c r="AN56" i="12"/>
  <c r="AN171" i="12"/>
  <c r="AN76" i="12"/>
  <c r="AN45" i="12"/>
  <c r="AN113" i="12"/>
  <c r="AN44" i="12"/>
  <c r="AN156" i="12"/>
  <c r="AN167" i="12"/>
  <c r="AN57" i="12"/>
  <c r="AN114" i="12"/>
  <c r="AN52" i="12"/>
  <c r="AN77" i="12"/>
  <c r="AN32" i="12"/>
  <c r="AN165" i="12"/>
  <c r="AN154" i="12"/>
  <c r="AN71" i="12"/>
  <c r="AN46" i="12"/>
  <c r="AN118" i="12"/>
  <c r="AN70" i="12"/>
  <c r="B100" i="13"/>
  <c r="K6" i="12"/>
  <c r="V9" i="12" s="1"/>
  <c r="AF13" i="12"/>
  <c r="AN140" i="12"/>
  <c r="AN168" i="12"/>
  <c r="AN53" i="12"/>
  <c r="AN41" i="12"/>
  <c r="D36" i="18"/>
  <c r="D27" i="18"/>
  <c r="E96" i="12"/>
  <c r="D195" i="12"/>
  <c r="K100" i="13"/>
  <c r="Q7" i="13" s="1"/>
  <c r="I100" i="13"/>
  <c r="D193" i="12"/>
  <c r="AN78" i="12"/>
  <c r="AN151" i="12"/>
  <c r="AN163" i="12"/>
  <c r="H23" i="18"/>
  <c r="H24" i="18"/>
  <c r="AN67" i="12"/>
  <c r="AN96" i="12"/>
  <c r="H131" i="18"/>
  <c r="H133" i="18"/>
  <c r="H84" i="18"/>
  <c r="B13" i="18"/>
  <c r="E67" i="12" s="1"/>
  <c r="AB67" i="12" s="1"/>
  <c r="AC67" i="12" s="1"/>
  <c r="H126" i="18"/>
  <c r="H132" i="18"/>
  <c r="H128" i="18"/>
  <c r="H127" i="18"/>
  <c r="H119" i="18"/>
  <c r="H121" i="18"/>
  <c r="H82" i="18"/>
  <c r="E82" i="18" s="1"/>
  <c r="H81" i="18" s="1"/>
  <c r="H141" i="18"/>
  <c r="F157" i="18"/>
  <c r="H140" i="18"/>
  <c r="H157" i="18"/>
  <c r="H130" i="18"/>
  <c r="AN37" i="12"/>
  <c r="AN91" i="12"/>
  <c r="AA87" i="12"/>
  <c r="AN170" i="12"/>
  <c r="AN55" i="12"/>
  <c r="AN43" i="12"/>
  <c r="E111" i="18"/>
  <c r="H111" i="18" s="1"/>
  <c r="AN75" i="12"/>
  <c r="AN97" i="12"/>
  <c r="AN54" i="12"/>
  <c r="AN24" i="12"/>
  <c r="F38" i="18"/>
  <c r="AN69" i="12"/>
  <c r="AN117" i="12"/>
  <c r="AN153" i="12"/>
  <c r="AN166" i="12"/>
  <c r="AN68" i="12"/>
  <c r="AN116" i="12"/>
  <c r="AN152" i="12"/>
  <c r="AN38" i="12"/>
  <c r="AN115" i="12"/>
  <c r="AN155" i="12"/>
  <c r="AN162" i="12"/>
  <c r="AN47" i="12"/>
  <c r="J1" i="13"/>
  <c r="Z31" i="11" l="1"/>
  <c r="Z221" i="11"/>
  <c r="Z9" i="11"/>
  <c r="Z209" i="11"/>
  <c r="Z44" i="11"/>
  <c r="Z82" i="11"/>
  <c r="Z197" i="11"/>
  <c r="Z113" i="11"/>
  <c r="Z56" i="11"/>
  <c r="Z157" i="11"/>
  <c r="Z160" i="11"/>
  <c r="Z130" i="11"/>
  <c r="Z112" i="11"/>
  <c r="Z217" i="11"/>
  <c r="Z99" i="11"/>
  <c r="Z43" i="11"/>
  <c r="Z125" i="11"/>
  <c r="Z210" i="11"/>
  <c r="Z123" i="11"/>
  <c r="Z137" i="11"/>
  <c r="Z11" i="11"/>
  <c r="Z138" i="11"/>
  <c r="Z154" i="11"/>
  <c r="Z151" i="11"/>
  <c r="Z145" i="11"/>
  <c r="Z45" i="11"/>
  <c r="Z141" i="11"/>
  <c r="Z91" i="11"/>
  <c r="Z4" i="11"/>
  <c r="Z5" i="11"/>
  <c r="Z103" i="11"/>
  <c r="Z115" i="11"/>
  <c r="Z128" i="11"/>
  <c r="Z164" i="11"/>
  <c r="Z10" i="11"/>
  <c r="Z80" i="11"/>
  <c r="Z95" i="11"/>
  <c r="Z67" i="11"/>
  <c r="Z149" i="11"/>
  <c r="Z131" i="11"/>
  <c r="Z39" i="11"/>
  <c r="Z69" i="11"/>
  <c r="Z212" i="11"/>
  <c r="Z100" i="11"/>
  <c r="Z102" i="11"/>
  <c r="Z124" i="11"/>
  <c r="Z108" i="11"/>
  <c r="Z65" i="11"/>
  <c r="Z24" i="11"/>
  <c r="Z105" i="11"/>
  <c r="Z201" i="11"/>
  <c r="Z15" i="11"/>
  <c r="Z97" i="11"/>
  <c r="Z17" i="11"/>
  <c r="F44" i="18"/>
  <c r="F39" i="18"/>
  <c r="F36" i="18"/>
  <c r="F41" i="18"/>
  <c r="H38" i="18"/>
  <c r="I38" i="18" s="1"/>
  <c r="J38" i="18" s="1"/>
  <c r="E76" i="12"/>
  <c r="AB76" i="12" s="1"/>
  <c r="AC76" i="12" s="1"/>
  <c r="E126" i="12"/>
  <c r="AB126" i="12" s="1"/>
  <c r="AC126" i="12" s="1"/>
  <c r="E162" i="12"/>
  <c r="AB162" i="12" s="1"/>
  <c r="AC162" i="12" s="1"/>
  <c r="E122" i="12"/>
  <c r="AB122" i="12" s="1"/>
  <c r="AC122" i="12" s="1"/>
  <c r="F45" i="18"/>
  <c r="H45" i="18" s="1"/>
  <c r="I45" i="18" s="1"/>
  <c r="J45" i="18" s="1"/>
  <c r="F40" i="18"/>
  <c r="F43" i="18"/>
  <c r="H36" i="18"/>
  <c r="E177" i="12"/>
  <c r="AB177" i="12" s="1"/>
  <c r="AC177" i="12" s="1"/>
  <c r="E139" i="12"/>
  <c r="AB139" i="12" s="1"/>
  <c r="AC139" i="12" s="1"/>
  <c r="E43" i="12"/>
  <c r="AB43" i="12" s="1"/>
  <c r="AC43" i="12" s="1"/>
  <c r="E46" i="12"/>
  <c r="E75" i="12"/>
  <c r="AB75" i="12" s="1"/>
  <c r="AC75" i="12" s="1"/>
  <c r="E180" i="12"/>
  <c r="AB180" i="12" s="1"/>
  <c r="AC180" i="12" s="1"/>
  <c r="G109" i="18"/>
  <c r="H109" i="18"/>
  <c r="E101" i="12" s="1"/>
  <c r="AB101" i="12" s="1"/>
  <c r="AC101" i="12" s="1"/>
  <c r="C14" i="12"/>
  <c r="C15" i="12"/>
  <c r="H74" i="18"/>
  <c r="E56" i="12" s="1"/>
  <c r="AB56" i="12" s="1"/>
  <c r="AC56" i="12" s="1"/>
  <c r="M23" i="18"/>
  <c r="K23" i="18"/>
  <c r="I23" i="18"/>
  <c r="J23" i="18"/>
  <c r="J27" i="18"/>
  <c r="J29" i="18"/>
  <c r="J25" i="18"/>
  <c r="E68" i="12"/>
  <c r="AB68" i="12" s="1"/>
  <c r="AC68" i="12" s="1"/>
  <c r="E114" i="12"/>
  <c r="AB114" i="12" s="1"/>
  <c r="AC114" i="12" s="1"/>
  <c r="E125" i="12"/>
  <c r="AB125" i="12" s="1"/>
  <c r="AC125" i="12" s="1"/>
  <c r="E97" i="12"/>
  <c r="AB97" i="12" s="1"/>
  <c r="AC97" i="12" s="1"/>
  <c r="E118" i="12"/>
  <c r="AB118" i="12" s="1"/>
  <c r="AC118" i="12" s="1"/>
  <c r="E113" i="12"/>
  <c r="AB113" i="12" s="1"/>
  <c r="AC113" i="12" s="1"/>
  <c r="E117" i="12"/>
  <c r="AB117" i="12" s="1"/>
  <c r="AC117" i="12" s="1"/>
  <c r="E178" i="12"/>
  <c r="AB178" i="12" s="1"/>
  <c r="AC178" i="12" s="1"/>
  <c r="E123" i="12"/>
  <c r="AB123" i="12" s="1"/>
  <c r="AC123" i="12" s="1"/>
  <c r="E107" i="12"/>
  <c r="AB107" i="12" s="1"/>
  <c r="AC107" i="12" s="1"/>
  <c r="AB46" i="12"/>
  <c r="AC46" i="12" s="1"/>
  <c r="D190" i="12"/>
  <c r="D197" i="12"/>
  <c r="P7" i="13"/>
  <c r="M6" i="13" s="1"/>
  <c r="D3" i="11"/>
  <c r="D2" i="11"/>
  <c r="H3" i="11" s="1"/>
  <c r="P6" i="13"/>
  <c r="F6" i="13" s="1"/>
  <c r="E77" i="12"/>
  <c r="AB77" i="12" s="1"/>
  <c r="AC77" i="12" s="1"/>
  <c r="E72" i="12"/>
  <c r="AB72" i="12" s="1"/>
  <c r="AC72" i="12" s="1"/>
  <c r="E182" i="12"/>
  <c r="AB182" i="12" s="1"/>
  <c r="AC182" i="12" s="1"/>
  <c r="AB96" i="12"/>
  <c r="AC96" i="12" s="1"/>
  <c r="E129" i="12"/>
  <c r="AB129" i="12" s="1"/>
  <c r="AC129" i="12" s="1"/>
  <c r="E135" i="12"/>
  <c r="AB135" i="12" s="1"/>
  <c r="AC135" i="12" s="1"/>
  <c r="E140" i="12"/>
  <c r="AB140" i="12" s="1"/>
  <c r="AC140" i="12" s="1"/>
  <c r="AF14" i="12"/>
  <c r="C2" i="11"/>
  <c r="J2" i="11" s="1"/>
  <c r="AE14" i="12"/>
  <c r="J37" i="18"/>
  <c r="D58" i="18"/>
  <c r="H58" i="18" s="1"/>
  <c r="E37" i="12" s="1"/>
  <c r="AB37" i="12" s="1"/>
  <c r="AC37" i="12" s="1"/>
  <c r="D59" i="18"/>
  <c r="H59" i="18" s="1"/>
  <c r="E38" i="12" s="1"/>
  <c r="AB38" i="12" s="1"/>
  <c r="AC38" i="12" s="1"/>
  <c r="E138" i="12"/>
  <c r="AB138" i="12" s="1"/>
  <c r="AC138" i="12" s="1"/>
  <c r="E40" i="12"/>
  <c r="AB40" i="12" s="1"/>
  <c r="AC40" i="12" s="1"/>
  <c r="E92" i="12"/>
  <c r="AB92" i="12" s="1"/>
  <c r="AC92" i="12" s="1"/>
  <c r="E47" i="12"/>
  <c r="AB47" i="12" s="1"/>
  <c r="AC47" i="12" s="1"/>
  <c r="E39" i="12"/>
  <c r="AB39" i="12" s="1"/>
  <c r="AC39" i="12" s="1"/>
  <c r="E71" i="12"/>
  <c r="AB71" i="12" s="1"/>
  <c r="AC71" i="12" s="1"/>
  <c r="E82" i="12"/>
  <c r="AB82" i="12" s="1"/>
  <c r="AC82" i="12" s="1"/>
  <c r="E132" i="12"/>
  <c r="AB132" i="12" s="1"/>
  <c r="AC132" i="12" s="1"/>
  <c r="E108" i="12"/>
  <c r="AB108" i="12" s="1"/>
  <c r="AC108" i="12" s="1"/>
  <c r="E184" i="12"/>
  <c r="AB184" i="12" s="1"/>
  <c r="AC184" i="12" s="1"/>
  <c r="E89" i="12"/>
  <c r="AB89" i="12" s="1"/>
  <c r="AC89" i="12" s="1"/>
  <c r="E137" i="12"/>
  <c r="AB137" i="12" s="1"/>
  <c r="AC137" i="12" s="1"/>
  <c r="E136" i="12"/>
  <c r="AB136" i="12" s="1"/>
  <c r="AC136" i="12" s="1"/>
  <c r="E91" i="12"/>
  <c r="AB91" i="12" s="1"/>
  <c r="AC91" i="12" s="1"/>
  <c r="E87" i="12"/>
  <c r="AB87" i="12" s="1"/>
  <c r="AC87" i="12" s="1"/>
  <c r="E42" i="12"/>
  <c r="AB42" i="12" s="1"/>
  <c r="AC42" i="12" s="1"/>
  <c r="E149" i="12"/>
  <c r="AB149" i="12" s="1"/>
  <c r="AC149" i="12" s="1"/>
  <c r="E133" i="12"/>
  <c r="AB133" i="12" s="1"/>
  <c r="AC133" i="12" s="1"/>
  <c r="E98" i="12"/>
  <c r="AB98" i="12" s="1"/>
  <c r="AC98" i="12" s="1"/>
  <c r="E61" i="12"/>
  <c r="AB61" i="12" s="1"/>
  <c r="AC61" i="12" s="1"/>
  <c r="E53" i="12"/>
  <c r="AB53" i="12" s="1"/>
  <c r="AC53" i="12" s="1"/>
  <c r="E41" i="12"/>
  <c r="AB41" i="12" s="1"/>
  <c r="AC41" i="12" s="1"/>
  <c r="E32" i="12"/>
  <c r="AB32" i="12" s="1"/>
  <c r="AC32" i="12" s="1"/>
  <c r="E183" i="12"/>
  <c r="AB183" i="12" s="1"/>
  <c r="AC183" i="12" s="1"/>
  <c r="E93" i="12"/>
  <c r="AB93" i="12" s="1"/>
  <c r="AC93" i="12" s="1"/>
  <c r="E109" i="12"/>
  <c r="AB109" i="12" s="1"/>
  <c r="AC109" i="12" s="1"/>
  <c r="E70" i="12"/>
  <c r="AB70" i="12" s="1"/>
  <c r="AC70" i="12" s="1"/>
  <c r="E52" i="12"/>
  <c r="AB52" i="12" s="1"/>
  <c r="AC52" i="12" s="1"/>
  <c r="E55" i="12"/>
  <c r="AB55" i="12" s="1"/>
  <c r="AC55" i="12" s="1"/>
  <c r="E181" i="12"/>
  <c r="AB181" i="12" s="1"/>
  <c r="AC181" i="12" s="1"/>
  <c r="E115" i="12"/>
  <c r="AB115" i="12" s="1"/>
  <c r="AC115" i="12" s="1"/>
  <c r="E124" i="12"/>
  <c r="AB124" i="12" s="1"/>
  <c r="AC124" i="12" s="1"/>
  <c r="E148" i="12"/>
  <c r="AB148" i="12" s="1"/>
  <c r="AC148" i="12" s="1"/>
  <c r="E116" i="12"/>
  <c r="AB116" i="12" s="1"/>
  <c r="AC116" i="12" s="1"/>
  <c r="E78" i="12"/>
  <c r="AB78" i="12" s="1"/>
  <c r="AC78" i="12" s="1"/>
  <c r="E163" i="12"/>
  <c r="AB163" i="12" s="1"/>
  <c r="AC163" i="12" s="1"/>
  <c r="E69" i="12"/>
  <c r="AB69" i="12" s="1"/>
  <c r="AC69" i="12" s="1"/>
  <c r="E176" i="12"/>
  <c r="AB176" i="12" s="1"/>
  <c r="AC176" i="12" s="1"/>
  <c r="E134" i="12"/>
  <c r="AB134" i="12" s="1"/>
  <c r="AC134" i="12" s="1"/>
  <c r="E103" i="12"/>
  <c r="AB103" i="12" s="1"/>
  <c r="AC103" i="12" s="1"/>
  <c r="E54" i="12"/>
  <c r="AB54" i="12" s="1"/>
  <c r="AC54" i="12" s="1"/>
  <c r="E88" i="12"/>
  <c r="AB88" i="12" s="1"/>
  <c r="AC88" i="12" s="1"/>
  <c r="E127" i="12"/>
  <c r="AB127" i="12" s="1"/>
  <c r="AC127" i="12" s="1"/>
  <c r="E102" i="12"/>
  <c r="AB102" i="12" s="1"/>
  <c r="AC102" i="12" s="1"/>
  <c r="E131" i="12"/>
  <c r="AB131" i="12" s="1"/>
  <c r="AC131" i="12" s="1"/>
  <c r="I24" i="18"/>
  <c r="H65" i="18" s="1"/>
  <c r="E44" i="12" s="1"/>
  <c r="AB44" i="12" s="1"/>
  <c r="AC44" i="12" s="1"/>
  <c r="K24" i="18"/>
  <c r="J24" i="18"/>
  <c r="M24" i="18"/>
  <c r="J26" i="18"/>
  <c r="J30" i="18"/>
  <c r="J28" i="18"/>
  <c r="E130" i="12"/>
  <c r="AB130" i="12" s="1"/>
  <c r="AC130" i="12" s="1"/>
  <c r="E128" i="12"/>
  <c r="AB128" i="12" s="1"/>
  <c r="AC128" i="12" s="1"/>
  <c r="E179" i="12"/>
  <c r="AB179" i="12" s="1"/>
  <c r="AC179" i="12" s="1"/>
  <c r="E84" i="12"/>
  <c r="AB84" i="12" s="1"/>
  <c r="AC84" i="12" s="1"/>
  <c r="AC126" i="11"/>
  <c r="AB200" i="11"/>
  <c r="AB121" i="11"/>
  <c r="AA41" i="11"/>
  <c r="AB78" i="11"/>
  <c r="AA214" i="11"/>
  <c r="AC120" i="11"/>
  <c r="AC70" i="11"/>
  <c r="AB113" i="11"/>
  <c r="AA173" i="11"/>
  <c r="AA157" i="11"/>
  <c r="AA112" i="11"/>
  <c r="AA43" i="11"/>
  <c r="AA210" i="11"/>
  <c r="AB197" i="11"/>
  <c r="AB56" i="11"/>
  <c r="AA123" i="11"/>
  <c r="AB208" i="11"/>
  <c r="AC117" i="11"/>
  <c r="AA106" i="11"/>
  <c r="AC114" i="11"/>
  <c r="AC104" i="11"/>
  <c r="AB22" i="11"/>
  <c r="AA68" i="11"/>
  <c r="AA59" i="11"/>
  <c r="AC61" i="11"/>
  <c r="AC88" i="11"/>
  <c r="AA145" i="11"/>
  <c r="AA45" i="11"/>
  <c r="AA96" i="11"/>
  <c r="AC4" i="11"/>
  <c r="AA103" i="11"/>
  <c r="AC133" i="11"/>
  <c r="AC80" i="11"/>
  <c r="AA67" i="11"/>
  <c r="AB39" i="11"/>
  <c r="AA94" i="11"/>
  <c r="AC63" i="11"/>
  <c r="AB21" i="11"/>
  <c r="AC69" i="11"/>
  <c r="AB118" i="11"/>
  <c r="AA100" i="11"/>
  <c r="AA124" i="11"/>
  <c r="AB65" i="11"/>
  <c r="AA201" i="11"/>
  <c r="AC17" i="11"/>
  <c r="AB51" i="11"/>
  <c r="AB37" i="11"/>
  <c r="AB54" i="11"/>
  <c r="AC13" i="11"/>
  <c r="AC132" i="11"/>
  <c r="AA140" i="11"/>
  <c r="AC98" i="11"/>
  <c r="AC109" i="11"/>
  <c r="AC30" i="11"/>
  <c r="AA116" i="11"/>
  <c r="AC219" i="11"/>
  <c r="AC47" i="11"/>
  <c r="AC168" i="11"/>
  <c r="AB76" i="11"/>
  <c r="AB35" i="11"/>
  <c r="AC26" i="11"/>
  <c r="AA215" i="11"/>
  <c r="AA33" i="11"/>
  <c r="AA40" i="11"/>
  <c r="AC75" i="11"/>
  <c r="AA203" i="11"/>
  <c r="AC213" i="11"/>
  <c r="AB84" i="11"/>
  <c r="AB101" i="11"/>
  <c r="AC66" i="11"/>
  <c r="AC78" i="11"/>
  <c r="AC208" i="11"/>
  <c r="AB158" i="11"/>
  <c r="AB91" i="11"/>
  <c r="AA63" i="11"/>
  <c r="AB201" i="11"/>
  <c r="AB132" i="11"/>
  <c r="AA219" i="11"/>
  <c r="AA176" i="11"/>
  <c r="AA66" i="11"/>
  <c r="AA126" i="11"/>
  <c r="AB170" i="11"/>
  <c r="AC121" i="11"/>
  <c r="AB41" i="11"/>
  <c r="AC86" i="11"/>
  <c r="AC214" i="11"/>
  <c r="AA120" i="11"/>
  <c r="AA58" i="11"/>
  <c r="AA113" i="11"/>
  <c r="AB173" i="11"/>
  <c r="AB160" i="11"/>
  <c r="AC112" i="11"/>
  <c r="AC43" i="11"/>
  <c r="AB155" i="11"/>
  <c r="AC197" i="11"/>
  <c r="AA56" i="11"/>
  <c r="AA137" i="11"/>
  <c r="AA208" i="11"/>
  <c r="AA117" i="11"/>
  <c r="AB31" i="11"/>
  <c r="AB114" i="11"/>
  <c r="AA104" i="11"/>
  <c r="AA139" i="11"/>
  <c r="AC68" i="11"/>
  <c r="AB59" i="11"/>
  <c r="AA221" i="11"/>
  <c r="AB88" i="11"/>
  <c r="AC145" i="11"/>
  <c r="AB141" i="11"/>
  <c r="AC96" i="11"/>
  <c r="AB4" i="11"/>
  <c r="AC115" i="11"/>
  <c r="AB133" i="11"/>
  <c r="AA80" i="11"/>
  <c r="AA149" i="11"/>
  <c r="AC39" i="11"/>
  <c r="AB94" i="11"/>
  <c r="AC129" i="11"/>
  <c r="AC21" i="11"/>
  <c r="AA69" i="11"/>
  <c r="AA212" i="11"/>
  <c r="AB100" i="11"/>
  <c r="AB124" i="11"/>
  <c r="AA24" i="11"/>
  <c r="AC201" i="11"/>
  <c r="AB17" i="11"/>
  <c r="AA134" i="11"/>
  <c r="AA37" i="11"/>
  <c r="AA54" i="11"/>
  <c r="AC52" i="11"/>
  <c r="AA132" i="11"/>
  <c r="AC140" i="11"/>
  <c r="AC7" i="11"/>
  <c r="AA109" i="11"/>
  <c r="AB30" i="11"/>
  <c r="AC161" i="11"/>
  <c r="AB219" i="11"/>
  <c r="AB47" i="11"/>
  <c r="AA81" i="11"/>
  <c r="AA76" i="11"/>
  <c r="AC35" i="11"/>
  <c r="AA119" i="11"/>
  <c r="AC215" i="11"/>
  <c r="AB33" i="11"/>
  <c r="AB107" i="11"/>
  <c r="AB75" i="11"/>
  <c r="AB203" i="11"/>
  <c r="AC162" i="11"/>
  <c r="AA84" i="11"/>
  <c r="AC101" i="11"/>
  <c r="AB163" i="11"/>
  <c r="AC200" i="11"/>
  <c r="AA138" i="11"/>
  <c r="AC146" i="11"/>
  <c r="AC67" i="11"/>
  <c r="AC100" i="11"/>
  <c r="AA98" i="11"/>
  <c r="AC76" i="11"/>
  <c r="AA93" i="11"/>
  <c r="AB126" i="11"/>
  <c r="AA170" i="11"/>
  <c r="AB6" i="11"/>
  <c r="AC41" i="11"/>
  <c r="AB86" i="11"/>
  <c r="AB19" i="11"/>
  <c r="AB120" i="11"/>
  <c r="AC58" i="11"/>
  <c r="AB172" i="11"/>
  <c r="AC173" i="11"/>
  <c r="AA160" i="11"/>
  <c r="AB217" i="11"/>
  <c r="AB43" i="11"/>
  <c r="AA155" i="11"/>
  <c r="AB206" i="11"/>
  <c r="AC56" i="11"/>
  <c r="AB137" i="11"/>
  <c r="AB62" i="11"/>
  <c r="AB117" i="11"/>
  <c r="AA31" i="11"/>
  <c r="AA207" i="11"/>
  <c r="AB104" i="11"/>
  <c r="AB139" i="11"/>
  <c r="AC14" i="11"/>
  <c r="AC59" i="11"/>
  <c r="AC221" i="11"/>
  <c r="AA79" i="11"/>
  <c r="AB145" i="11"/>
  <c r="AC141" i="11"/>
  <c r="AA55" i="11"/>
  <c r="AA4" i="11"/>
  <c r="AB115" i="11"/>
  <c r="AC164" i="11"/>
  <c r="AB80" i="11"/>
  <c r="AB149" i="11"/>
  <c r="AA142" i="11"/>
  <c r="AC94" i="11"/>
  <c r="AA129" i="11"/>
  <c r="AC156" i="11"/>
  <c r="AB69" i="11"/>
  <c r="AC212" i="11"/>
  <c r="AA34" i="11"/>
  <c r="AC124" i="11"/>
  <c r="AB24" i="11"/>
  <c r="AC15" i="11"/>
  <c r="AA17" i="11"/>
  <c r="AC134" i="11"/>
  <c r="AA204" i="11"/>
  <c r="AC54" i="11"/>
  <c r="AB52" i="11"/>
  <c r="AA211" i="11"/>
  <c r="AB140" i="11"/>
  <c r="AB7" i="11"/>
  <c r="AC73" i="11"/>
  <c r="AA30" i="11"/>
  <c r="AA161" i="11"/>
  <c r="AB198" i="11"/>
  <c r="AA47" i="11"/>
  <c r="AC81" i="11"/>
  <c r="AC216" i="11"/>
  <c r="AA35" i="11"/>
  <c r="AB119" i="11"/>
  <c r="AB57" i="11"/>
  <c r="AC33" i="11"/>
  <c r="AA107" i="11"/>
  <c r="AB8" i="11"/>
  <c r="AC203" i="11"/>
  <c r="AA162" i="11"/>
  <c r="AC25" i="11"/>
  <c r="AA101" i="11"/>
  <c r="AA163" i="11"/>
  <c r="AC163" i="11"/>
  <c r="AB144" i="11"/>
  <c r="AA121" i="11"/>
  <c r="AC123" i="11"/>
  <c r="AB68" i="11"/>
  <c r="AB103" i="11"/>
  <c r="AA21" i="11"/>
  <c r="AC65" i="11"/>
  <c r="AC89" i="11"/>
  <c r="AB116" i="11"/>
  <c r="AB215" i="11"/>
  <c r="AB90" i="11"/>
  <c r="AA82" i="11"/>
  <c r="AC170" i="11"/>
  <c r="AA6" i="11"/>
  <c r="AB122" i="11"/>
  <c r="AA86" i="11"/>
  <c r="AC19" i="11"/>
  <c r="AC202" i="11"/>
  <c r="AB58" i="11"/>
  <c r="AA172" i="11"/>
  <c r="AB20" i="11"/>
  <c r="AC160" i="11"/>
  <c r="AA217" i="11"/>
  <c r="AC125" i="11"/>
  <c r="AC155" i="11"/>
  <c r="AC206" i="11"/>
  <c r="AA111" i="11"/>
  <c r="AC137" i="11"/>
  <c r="AC62" i="11"/>
  <c r="AB154" i="11"/>
  <c r="AC31" i="11"/>
  <c r="AB207" i="11"/>
  <c r="AB48" i="11"/>
  <c r="AC139" i="11"/>
  <c r="AB14" i="11"/>
  <c r="AA151" i="11"/>
  <c r="AB221" i="11"/>
  <c r="AB79" i="11"/>
  <c r="AA64" i="11"/>
  <c r="AA141" i="11"/>
  <c r="AB55" i="11"/>
  <c r="AB5" i="11"/>
  <c r="AA115" i="11"/>
  <c r="AA164" i="11"/>
  <c r="AA95" i="11"/>
  <c r="AC149" i="11"/>
  <c r="AB142" i="11"/>
  <c r="AC32" i="11"/>
  <c r="AB129" i="11"/>
  <c r="AB156" i="11"/>
  <c r="AA23" i="11"/>
  <c r="AB212" i="11"/>
  <c r="AB34" i="11"/>
  <c r="AB108" i="11"/>
  <c r="AC24" i="11"/>
  <c r="AA15" i="11"/>
  <c r="AC218" i="11"/>
  <c r="AB134" i="11"/>
  <c r="AC204" i="11"/>
  <c r="AB85" i="11"/>
  <c r="AA52" i="11"/>
  <c r="AB211" i="11"/>
  <c r="AC143" i="11"/>
  <c r="AA7" i="11"/>
  <c r="AA73" i="11"/>
  <c r="AA18" i="11"/>
  <c r="AB161" i="11"/>
  <c r="AA198" i="11"/>
  <c r="AB77" i="11"/>
  <c r="AB81" i="11"/>
  <c r="AB216" i="11"/>
  <c r="AA205" i="11"/>
  <c r="AC119" i="11"/>
  <c r="AC57" i="11"/>
  <c r="AC153" i="11"/>
  <c r="AC107" i="11"/>
  <c r="AA8" i="11"/>
  <c r="AC29" i="11"/>
  <c r="AB162" i="11"/>
  <c r="AA25" i="11"/>
  <c r="AC144" i="11"/>
  <c r="AC92" i="11"/>
  <c r="AB199" i="11"/>
  <c r="AC22" i="11"/>
  <c r="AB96" i="11"/>
  <c r="AA147" i="11"/>
  <c r="AA102" i="11"/>
  <c r="AB13" i="11"/>
  <c r="AA74" i="11"/>
  <c r="AC40" i="11"/>
  <c r="AC82" i="11"/>
  <c r="AC150" i="11"/>
  <c r="AC6" i="11"/>
  <c r="AC122" i="11"/>
  <c r="AB28" i="11"/>
  <c r="AA19" i="11"/>
  <c r="AB202" i="11"/>
  <c r="AC36" i="11"/>
  <c r="AC172" i="11"/>
  <c r="AA20" i="11"/>
  <c r="AB130" i="11"/>
  <c r="AC217" i="11"/>
  <c r="AA125" i="11"/>
  <c r="AA209" i="11"/>
  <c r="AA206" i="11"/>
  <c r="AC111" i="11"/>
  <c r="AA11" i="11"/>
  <c r="AA62" i="11"/>
  <c r="AC154" i="11"/>
  <c r="AB9" i="11"/>
  <c r="AC207" i="11"/>
  <c r="AA48" i="11"/>
  <c r="AC169" i="11"/>
  <c r="AA14" i="11"/>
  <c r="AB151" i="11"/>
  <c r="AA44" i="11"/>
  <c r="AC79" i="11"/>
  <c r="AC64" i="11"/>
  <c r="AA178" i="11"/>
  <c r="AC55" i="11"/>
  <c r="AA5" i="11"/>
  <c r="AB128" i="11"/>
  <c r="AB164" i="11"/>
  <c r="AC95" i="11"/>
  <c r="AB131" i="11"/>
  <c r="AC142" i="11"/>
  <c r="AA32" i="11"/>
  <c r="AB53" i="11"/>
  <c r="AA156" i="11"/>
  <c r="AB23" i="11"/>
  <c r="AB46" i="11"/>
  <c r="AC34" i="11"/>
  <c r="AA108" i="11"/>
  <c r="AA105" i="11"/>
  <c r="AB15" i="11"/>
  <c r="AA218" i="11"/>
  <c r="AC42" i="11"/>
  <c r="AB204" i="11"/>
  <c r="AA85" i="11"/>
  <c r="AC127" i="11"/>
  <c r="AC211" i="11"/>
  <c r="AA143" i="11"/>
  <c r="AB171" i="11"/>
  <c r="AB73" i="11"/>
  <c r="AC18" i="11"/>
  <c r="AC72" i="11"/>
  <c r="AC198" i="11"/>
  <c r="AA77" i="11"/>
  <c r="AB50" i="11"/>
  <c r="AA216" i="11"/>
  <c r="AC205" i="11"/>
  <c r="AC174" i="11"/>
  <c r="AA57" i="11"/>
  <c r="AA153" i="11"/>
  <c r="AC175" i="11"/>
  <c r="AC8" i="11"/>
  <c r="AB29" i="11"/>
  <c r="AA220" i="11"/>
  <c r="AB25" i="11"/>
  <c r="AA144" i="11"/>
  <c r="AB214" i="11"/>
  <c r="AA197" i="11"/>
  <c r="AB152" i="11"/>
  <c r="AC45" i="11"/>
  <c r="AA39" i="11"/>
  <c r="AC97" i="11"/>
  <c r="AC87" i="11"/>
  <c r="AB168" i="11"/>
  <c r="AA75" i="11"/>
  <c r="AB82" i="11"/>
  <c r="AB150" i="11"/>
  <c r="AB92" i="11"/>
  <c r="AA122" i="11"/>
  <c r="AC28" i="11"/>
  <c r="AC148" i="11"/>
  <c r="AA202" i="11"/>
  <c r="AA36" i="11"/>
  <c r="AA12" i="11"/>
  <c r="AC20" i="11"/>
  <c r="AC130" i="11"/>
  <c r="AA99" i="11"/>
  <c r="AB125" i="11"/>
  <c r="AC209" i="11"/>
  <c r="AC199" i="11"/>
  <c r="AB111" i="11"/>
  <c r="AB11" i="11"/>
  <c r="AB138" i="11"/>
  <c r="AA154" i="11"/>
  <c r="AC9" i="11"/>
  <c r="AC152" i="11"/>
  <c r="AC48" i="11"/>
  <c r="AA169" i="11"/>
  <c r="AA158" i="11"/>
  <c r="AC151" i="11"/>
  <c r="AC44" i="11"/>
  <c r="AA146" i="11"/>
  <c r="AB64" i="11"/>
  <c r="AB178" i="11"/>
  <c r="AA91" i="11"/>
  <c r="AC5" i="11"/>
  <c r="AA128" i="11"/>
  <c r="AC10" i="11"/>
  <c r="AB95" i="11"/>
  <c r="AC131" i="11"/>
  <c r="AC147" i="11"/>
  <c r="AB32" i="11"/>
  <c r="AC53" i="11"/>
  <c r="AA159" i="11"/>
  <c r="AC23" i="11"/>
  <c r="AC46" i="11"/>
  <c r="AB102" i="11"/>
  <c r="AC108" i="11"/>
  <c r="AC105" i="11"/>
  <c r="AB97" i="11"/>
  <c r="AB218" i="11"/>
  <c r="AB42" i="11"/>
  <c r="AB89" i="11"/>
  <c r="AC85" i="11"/>
  <c r="AA127" i="11"/>
  <c r="AA87" i="11"/>
  <c r="AB143" i="11"/>
  <c r="AC171" i="11"/>
  <c r="AB177" i="11"/>
  <c r="AB18" i="11"/>
  <c r="AB72" i="11"/>
  <c r="AC74" i="11"/>
  <c r="AC77" i="11"/>
  <c r="AC50" i="11"/>
  <c r="AC110" i="11"/>
  <c r="AB205" i="11"/>
  <c r="AB174" i="11"/>
  <c r="AB176" i="11"/>
  <c r="AB153" i="11"/>
  <c r="AA175" i="11"/>
  <c r="AB93" i="11"/>
  <c r="AA29" i="11"/>
  <c r="AB220" i="11"/>
  <c r="AC90" i="11"/>
  <c r="AA70" i="11"/>
  <c r="AB12" i="11"/>
  <c r="AB112" i="11"/>
  <c r="AB210" i="11"/>
  <c r="AA114" i="11"/>
  <c r="AB61" i="11"/>
  <c r="AB10" i="11"/>
  <c r="AC118" i="11"/>
  <c r="AC37" i="11"/>
  <c r="AB109" i="11"/>
  <c r="AB110" i="11"/>
  <c r="AB213" i="11"/>
  <c r="AA200" i="11"/>
  <c r="AA150" i="11"/>
  <c r="AA92" i="11"/>
  <c r="AA78" i="11"/>
  <c r="AA28" i="11"/>
  <c r="AA148" i="11"/>
  <c r="AB70" i="11"/>
  <c r="AB36" i="11"/>
  <c r="AC12" i="11"/>
  <c r="AB157" i="11"/>
  <c r="AA130" i="11"/>
  <c r="AB99" i="11"/>
  <c r="AC210" i="11"/>
  <c r="AB209" i="11"/>
  <c r="AA199" i="11"/>
  <c r="AB123" i="11"/>
  <c r="AC11" i="11"/>
  <c r="AC138" i="11"/>
  <c r="AC106" i="11"/>
  <c r="AA9" i="11"/>
  <c r="AA152" i="11"/>
  <c r="AA22" i="11"/>
  <c r="AB169" i="11"/>
  <c r="AC158" i="11"/>
  <c r="AA61" i="11"/>
  <c r="AB44" i="11"/>
  <c r="AB146" i="11"/>
  <c r="AB45" i="11"/>
  <c r="AC178" i="11"/>
  <c r="AC91" i="11"/>
  <c r="AC103" i="11"/>
  <c r="AC128" i="11"/>
  <c r="AA10" i="11"/>
  <c r="AB67" i="11"/>
  <c r="AA131" i="11"/>
  <c r="AB147" i="11"/>
  <c r="AB63" i="11"/>
  <c r="AA53" i="11"/>
  <c r="AB159" i="11"/>
  <c r="AA118" i="11"/>
  <c r="AA46" i="11"/>
  <c r="AC102" i="11"/>
  <c r="AA65" i="11"/>
  <c r="AB105" i="11"/>
  <c r="AA97" i="11"/>
  <c r="AA51" i="11"/>
  <c r="AA42" i="11"/>
  <c r="AA89" i="11"/>
  <c r="AA13" i="11"/>
  <c r="AB127" i="11"/>
  <c r="AB87" i="11"/>
  <c r="AB98" i="11"/>
  <c r="AA171" i="11"/>
  <c r="AA177" i="11"/>
  <c r="AC116" i="11"/>
  <c r="AA72" i="11"/>
  <c r="AB74" i="11"/>
  <c r="AA168" i="11"/>
  <c r="AA50" i="11"/>
  <c r="AA110" i="11"/>
  <c r="AB26" i="11"/>
  <c r="AA174" i="11"/>
  <c r="AC176" i="11"/>
  <c r="AB40" i="11"/>
  <c r="AB175" i="11"/>
  <c r="AC93" i="11"/>
  <c r="AA213" i="11"/>
  <c r="AC220" i="11"/>
  <c r="AA90" i="11"/>
  <c r="AB66" i="11"/>
  <c r="AB148" i="11"/>
  <c r="AC113" i="11"/>
  <c r="AC157" i="11"/>
  <c r="AC99" i="11"/>
  <c r="AB106" i="11"/>
  <c r="AA88" i="11"/>
  <c r="AA133" i="11"/>
  <c r="AC159" i="11"/>
  <c r="AC51" i="11"/>
  <c r="AC177" i="11"/>
  <c r="AA26" i="11"/>
  <c r="AC84" i="11"/>
  <c r="AE26" i="11" l="1"/>
  <c r="AE133" i="11"/>
  <c r="AE88" i="11"/>
  <c r="AE90" i="11"/>
  <c r="AE213" i="11"/>
  <c r="AE174" i="11"/>
  <c r="AE110" i="11"/>
  <c r="AE50" i="11"/>
  <c r="AE168" i="11"/>
  <c r="AE72" i="11"/>
  <c r="AE177" i="11"/>
  <c r="AE171" i="11"/>
  <c r="AE13" i="11"/>
  <c r="AE89" i="11"/>
  <c r="AE42" i="11"/>
  <c r="AE51" i="11"/>
  <c r="AE97" i="11"/>
  <c r="AE65" i="11"/>
  <c r="AE46" i="11"/>
  <c r="AE118" i="11"/>
  <c r="AE53" i="11"/>
  <c r="AE131" i="11"/>
  <c r="AE10" i="11"/>
  <c r="AE61" i="11"/>
  <c r="AE22" i="11"/>
  <c r="AE152" i="11"/>
  <c r="AE9" i="11"/>
  <c r="AE199" i="11"/>
  <c r="AE130" i="11"/>
  <c r="AE148" i="11"/>
  <c r="AE28" i="11"/>
  <c r="AE78" i="11"/>
  <c r="AE92" i="11"/>
  <c r="AE150" i="11"/>
  <c r="AE200" i="11"/>
  <c r="AE114" i="11"/>
  <c r="AE70" i="11"/>
  <c r="AE29" i="11"/>
  <c r="AE175" i="11"/>
  <c r="AE87" i="11"/>
  <c r="AE127" i="11"/>
  <c r="AE159" i="11"/>
  <c r="AE128" i="11"/>
  <c r="AE91" i="11"/>
  <c r="AE146" i="11"/>
  <c r="AE158" i="11"/>
  <c r="AE169" i="11"/>
  <c r="AE154" i="11"/>
  <c r="AE99" i="11"/>
  <c r="AE12" i="11"/>
  <c r="AE36" i="11"/>
  <c r="AE202" i="11"/>
  <c r="AE122" i="11"/>
  <c r="AE75" i="11"/>
  <c r="AE39" i="11"/>
  <c r="AE197" i="11"/>
  <c r="AE144" i="11"/>
  <c r="AE220" i="11"/>
  <c r="AE153" i="11"/>
  <c r="AE57" i="11"/>
  <c r="AE216" i="11"/>
  <c r="AE77" i="11"/>
  <c r="AE143" i="11"/>
  <c r="AE85" i="11"/>
  <c r="AE218" i="11"/>
  <c r="AE105" i="11"/>
  <c r="AE108" i="11"/>
  <c r="AE156" i="11"/>
  <c r="AE32" i="11"/>
  <c r="AE5" i="11"/>
  <c r="AE178" i="11"/>
  <c r="AE44" i="11"/>
  <c r="AE14" i="11"/>
  <c r="AE48" i="11"/>
  <c r="AE62" i="11"/>
  <c r="AE11" i="11"/>
  <c r="AE206" i="11"/>
  <c r="AE209" i="11"/>
  <c r="AE125" i="11"/>
  <c r="AE20" i="11"/>
  <c r="AE19" i="11"/>
  <c r="AE74" i="11"/>
  <c r="AE102" i="11"/>
  <c r="AE147" i="11"/>
  <c r="AE25" i="11"/>
  <c r="AE8" i="11"/>
  <c r="AE205" i="11"/>
  <c r="AE198" i="11"/>
  <c r="AE18" i="11"/>
  <c r="AE73" i="11"/>
  <c r="AE7" i="11"/>
  <c r="AE52" i="11"/>
  <c r="AE15" i="11"/>
  <c r="AE23" i="11"/>
  <c r="AE95" i="11"/>
  <c r="AE164" i="11"/>
  <c r="AE115" i="11"/>
  <c r="AE141" i="11"/>
  <c r="AE64" i="11"/>
  <c r="AE151" i="11"/>
  <c r="AE111" i="11"/>
  <c r="AE217" i="11"/>
  <c r="AE172" i="11"/>
  <c r="AE86" i="11"/>
  <c r="AE6" i="11"/>
  <c r="AE82" i="11"/>
  <c r="AE21" i="11"/>
  <c r="AE121" i="11"/>
  <c r="AE163" i="11"/>
  <c r="AE101" i="11"/>
  <c r="AE162" i="11"/>
  <c r="AE107" i="11"/>
  <c r="AE35" i="11"/>
  <c r="AE47" i="11"/>
  <c r="AE161" i="11"/>
  <c r="AE30" i="11"/>
  <c r="AE211" i="11"/>
  <c r="AE204" i="11"/>
  <c r="AE17" i="11"/>
  <c r="AE34" i="11"/>
  <c r="AE129" i="11"/>
  <c r="AE142" i="11"/>
  <c r="AE4" i="11"/>
  <c r="AE55" i="11"/>
  <c r="AE79" i="11"/>
  <c r="AE207" i="11"/>
  <c r="AE31" i="11"/>
  <c r="AE155" i="11"/>
  <c r="AE160" i="11"/>
  <c r="AE170" i="11"/>
  <c r="AE93" i="11"/>
  <c r="AE98" i="11"/>
  <c r="AE138" i="11"/>
  <c r="AE84" i="11"/>
  <c r="AE119" i="11"/>
  <c r="AE76" i="11"/>
  <c r="AE81" i="11"/>
  <c r="AE109" i="11"/>
  <c r="AE132" i="11"/>
  <c r="AE54" i="11"/>
  <c r="AE37" i="11"/>
  <c r="AE134" i="11"/>
  <c r="AE24" i="11"/>
  <c r="AE212" i="11"/>
  <c r="AE69" i="11"/>
  <c r="AE149" i="11"/>
  <c r="AE80" i="11"/>
  <c r="AE221" i="11"/>
  <c r="AE139" i="11"/>
  <c r="AE104" i="11"/>
  <c r="AE117" i="11"/>
  <c r="AE208" i="11"/>
  <c r="AE137" i="11"/>
  <c r="AE56" i="11"/>
  <c r="AE113" i="11"/>
  <c r="AE58" i="11"/>
  <c r="AE120" i="11"/>
  <c r="AE126" i="11"/>
  <c r="AE66" i="11"/>
  <c r="AE176" i="11"/>
  <c r="AE219" i="11"/>
  <c r="AE63" i="11"/>
  <c r="AE203" i="11"/>
  <c r="AE40" i="11"/>
  <c r="AE33" i="11"/>
  <c r="AE215" i="11"/>
  <c r="AE116" i="11"/>
  <c r="AE140" i="11"/>
  <c r="AE201" i="11"/>
  <c r="AE124" i="11"/>
  <c r="AE100" i="11"/>
  <c r="AE94" i="11"/>
  <c r="AE67" i="11"/>
  <c r="AE103" i="11"/>
  <c r="AE96" i="11"/>
  <c r="AE45" i="11"/>
  <c r="AE145" i="11"/>
  <c r="AE59" i="11"/>
  <c r="AE68" i="11"/>
  <c r="AE106" i="11"/>
  <c r="AE123" i="11"/>
  <c r="AE210" i="11"/>
  <c r="AE43" i="11"/>
  <c r="AE112" i="11"/>
  <c r="AE157" i="11"/>
  <c r="AE173" i="11"/>
  <c r="AE214" i="11"/>
  <c r="AE41" i="11"/>
  <c r="I51" i="18"/>
  <c r="E22" i="12" s="1"/>
  <c r="AB22" i="12" s="1"/>
  <c r="AC22" i="12" s="1"/>
  <c r="H40" i="18"/>
  <c r="I40" i="18" s="1"/>
  <c r="J40" i="18" s="1"/>
  <c r="F48" i="18"/>
  <c r="H44" i="18"/>
  <c r="I44" i="18" s="1"/>
  <c r="H43" i="18"/>
  <c r="I43" i="18" s="1"/>
  <c r="J43" i="18" s="1"/>
  <c r="F47" i="18"/>
  <c r="H47" i="18" s="1"/>
  <c r="I47" i="18" s="1"/>
  <c r="J47" i="18" s="1"/>
  <c r="E191" i="12"/>
  <c r="I36" i="18"/>
  <c r="K36" i="18"/>
  <c r="E193" i="12"/>
  <c r="E194" i="12"/>
  <c r="E195" i="12"/>
  <c r="J32" i="18"/>
  <c r="E15" i="12" s="1"/>
  <c r="L23" i="18"/>
  <c r="N3" i="11"/>
  <c r="M3" i="11"/>
  <c r="K3" i="11"/>
  <c r="S3" i="11"/>
  <c r="U3" i="11"/>
  <c r="O3" i="11"/>
  <c r="T3" i="11"/>
  <c r="L3" i="11"/>
  <c r="H4" i="11"/>
  <c r="J3" i="11"/>
  <c r="R3" i="11"/>
  <c r="Q3" i="11"/>
  <c r="I3" i="13"/>
  <c r="B3" i="11"/>
  <c r="I3" i="11" s="1"/>
  <c r="B2" i="11"/>
  <c r="I2" i="11" s="1"/>
  <c r="B3" i="13"/>
  <c r="J31" i="18"/>
  <c r="E14" i="12" s="1"/>
  <c r="G112" i="18"/>
  <c r="H112" i="18" s="1"/>
  <c r="E104" i="12" s="1"/>
  <c r="AB104" i="12" s="1"/>
  <c r="AC104" i="12" s="1"/>
  <c r="F103" i="18"/>
  <c r="B234" i="11"/>
  <c r="F7" i="11" s="1"/>
  <c r="P2" i="11" s="1"/>
  <c r="D198" i="12"/>
  <c r="D199" i="12" s="1"/>
  <c r="F77" i="18"/>
  <c r="H77" i="18" s="1"/>
  <c r="E59" i="12" s="1"/>
  <c r="AB59" i="12" s="1"/>
  <c r="AC59" i="12" s="1"/>
  <c r="F78" i="18"/>
  <c r="H78" i="18" s="1"/>
  <c r="E60" i="12" s="1"/>
  <c r="AB60" i="12" s="1"/>
  <c r="AC60" i="12" s="1"/>
  <c r="H66" i="18"/>
  <c r="E45" i="12" s="1"/>
  <c r="AB45" i="12" s="1"/>
  <c r="AC45" i="12" s="1"/>
  <c r="H75" i="18"/>
  <c r="E57" i="12" s="1"/>
  <c r="AB57" i="12" s="1"/>
  <c r="AC57" i="12" s="1"/>
  <c r="J44" i="18" l="1"/>
  <c r="I50" i="18"/>
  <c r="E23" i="12" s="1"/>
  <c r="AB23" i="12" s="1"/>
  <c r="AC23" i="12" s="1"/>
  <c r="K48" i="18"/>
  <c r="M48" i="18" s="1"/>
  <c r="I52" i="18"/>
  <c r="E21" i="12" s="1"/>
  <c r="AB21" i="12" s="1"/>
  <c r="AC21" i="12" s="1"/>
  <c r="M36" i="18"/>
  <c r="L36" i="18"/>
  <c r="I49" i="18"/>
  <c r="E24" i="12" s="1"/>
  <c r="AB24" i="12" s="1"/>
  <c r="AC24" i="12" s="1"/>
  <c r="J36" i="18"/>
  <c r="K41" i="18" s="1"/>
  <c r="M41" i="18" s="1"/>
  <c r="E192" i="12"/>
  <c r="O6" i="13"/>
  <c r="AB14" i="12"/>
  <c r="O4" i="11"/>
  <c r="T4" i="11"/>
  <c r="K4" i="11"/>
  <c r="M4" i="11"/>
  <c r="H5" i="11"/>
  <c r="L4" i="11"/>
  <c r="S4" i="11"/>
  <c r="I4" i="11"/>
  <c r="N4" i="11"/>
  <c r="U4" i="11"/>
  <c r="R4" i="11"/>
  <c r="J4" i="11"/>
  <c r="Q4" i="11"/>
  <c r="P4" i="11"/>
  <c r="AB15" i="12"/>
  <c r="AC15" i="12" s="1"/>
  <c r="O7" i="13"/>
  <c r="H103" i="18"/>
  <c r="E85" i="12" s="1"/>
  <c r="AB85" i="12" s="1"/>
  <c r="AC85" i="12" s="1"/>
  <c r="F104" i="18"/>
  <c r="H104" i="18" s="1"/>
  <c r="E86" i="12" s="1"/>
  <c r="AB86" i="12" s="1"/>
  <c r="AC86" i="12" s="1"/>
  <c r="P3" i="11"/>
  <c r="I5" i="11" l="1"/>
  <c r="H6" i="11"/>
  <c r="K5" i="11"/>
  <c r="T5" i="11"/>
  <c r="J5" i="11"/>
  <c r="S5" i="11"/>
  <c r="R5" i="11"/>
  <c r="N5" i="11"/>
  <c r="U5" i="11"/>
  <c r="O5" i="11"/>
  <c r="L5" i="11"/>
  <c r="M5" i="11"/>
  <c r="P5" i="11"/>
  <c r="Q5" i="11"/>
  <c r="E188" i="12"/>
  <c r="E43" i="16" s="1"/>
  <c r="AC14" i="12"/>
  <c r="E197" i="12" l="1"/>
  <c r="E190" i="12"/>
  <c r="U6" i="11"/>
  <c r="I6" i="11"/>
  <c r="J6" i="11"/>
  <c r="L6" i="11"/>
  <c r="N6" i="11"/>
  <c r="O6" i="11"/>
  <c r="T6" i="11"/>
  <c r="H7" i="11"/>
  <c r="K6" i="11"/>
  <c r="R6" i="11"/>
  <c r="S6" i="11"/>
  <c r="M6" i="11"/>
  <c r="Q6" i="11"/>
  <c r="P6" i="11"/>
  <c r="L7" i="11" l="1"/>
  <c r="U7" i="11"/>
  <c r="H8" i="11"/>
  <c r="K7" i="11"/>
  <c r="N7" i="11"/>
  <c r="J7" i="11"/>
  <c r="S7" i="11"/>
  <c r="R7" i="11"/>
  <c r="M7" i="11"/>
  <c r="T7" i="11"/>
  <c r="O7" i="11"/>
  <c r="I7" i="11"/>
  <c r="P7" i="11"/>
  <c r="Q7" i="11"/>
  <c r="E44" i="16"/>
  <c r="E198" i="12"/>
  <c r="E45" i="16" s="1"/>
  <c r="E199" i="12" l="1"/>
  <c r="E46" i="16" s="1"/>
  <c r="I8" i="11"/>
  <c r="S8" i="11"/>
  <c r="O8" i="11"/>
  <c r="K8" i="11"/>
  <c r="H9" i="11"/>
  <c r="M8" i="11"/>
  <c r="N8" i="11"/>
  <c r="T8" i="11"/>
  <c r="L8" i="11"/>
  <c r="J8" i="11"/>
  <c r="U8" i="11"/>
  <c r="R8" i="11"/>
  <c r="Q8" i="11"/>
  <c r="P8" i="11"/>
  <c r="J9" i="11" l="1"/>
  <c r="O9" i="11"/>
  <c r="M9" i="11"/>
  <c r="N9" i="11"/>
  <c r="I9" i="11"/>
  <c r="T9" i="11"/>
  <c r="R9" i="11"/>
  <c r="U9" i="11"/>
  <c r="S9" i="11"/>
  <c r="H10" i="11"/>
  <c r="K9" i="11"/>
  <c r="L9" i="11"/>
  <c r="P9" i="11"/>
  <c r="Q9" i="11"/>
  <c r="O10" i="11" l="1"/>
  <c r="I10" i="11"/>
  <c r="M10" i="11"/>
  <c r="R10" i="11"/>
  <c r="K10" i="11"/>
  <c r="H11" i="11"/>
  <c r="N10" i="11"/>
  <c r="S10" i="11"/>
  <c r="U10" i="11"/>
  <c r="T10" i="11"/>
  <c r="J10" i="11"/>
  <c r="L10" i="11"/>
  <c r="P10" i="11"/>
  <c r="Q10" i="11"/>
  <c r="I11" i="11" l="1"/>
  <c r="O11" i="11"/>
  <c r="R11" i="11"/>
  <c r="T11" i="11"/>
  <c r="S11" i="11"/>
  <c r="N11" i="11"/>
  <c r="L11" i="11"/>
  <c r="K11" i="11"/>
  <c r="M11" i="11"/>
  <c r="H12" i="11"/>
  <c r="J11" i="11"/>
  <c r="U11" i="11"/>
  <c r="P11" i="11"/>
  <c r="Q11" i="11"/>
  <c r="U12" i="11" l="1"/>
  <c r="N12" i="11"/>
  <c r="L12" i="11"/>
  <c r="S12" i="11"/>
  <c r="R12" i="11"/>
  <c r="O12" i="11"/>
  <c r="I12" i="11"/>
  <c r="T12" i="11"/>
  <c r="M12" i="11"/>
  <c r="J12" i="11"/>
  <c r="H13" i="11"/>
  <c r="K12" i="11"/>
  <c r="P12" i="11"/>
  <c r="Q12" i="11"/>
  <c r="K13" i="11" l="1"/>
  <c r="M13" i="11"/>
  <c r="R13" i="11"/>
  <c r="S13" i="11"/>
  <c r="U13" i="11"/>
  <c r="T13" i="11"/>
  <c r="J13" i="11"/>
  <c r="L13" i="11"/>
  <c r="N13" i="11"/>
  <c r="O13" i="11"/>
  <c r="I13" i="11"/>
  <c r="H14" i="11"/>
  <c r="Q13" i="11"/>
  <c r="P13" i="11"/>
  <c r="S14" i="11" l="1"/>
  <c r="O14" i="11"/>
  <c r="R14" i="11"/>
  <c r="H15" i="11"/>
  <c r="J14" i="11"/>
  <c r="T14" i="11"/>
  <c r="N14" i="11"/>
  <c r="I14" i="11"/>
  <c r="L14" i="11"/>
  <c r="U14" i="11"/>
  <c r="M14" i="11"/>
  <c r="K14" i="11"/>
  <c r="Q14" i="11"/>
  <c r="P14" i="11"/>
  <c r="M15" i="11" l="1"/>
  <c r="O15" i="11"/>
  <c r="N15" i="11"/>
  <c r="T15" i="11"/>
  <c r="S15" i="11"/>
  <c r="U15" i="11"/>
  <c r="H16" i="11"/>
  <c r="K15" i="11"/>
  <c r="J15" i="11"/>
  <c r="I15" i="11"/>
  <c r="L15" i="11"/>
  <c r="R15" i="11"/>
  <c r="P15" i="11"/>
  <c r="Q15" i="11"/>
  <c r="L16" i="11" l="1"/>
  <c r="I16" i="11"/>
  <c r="S16" i="11"/>
  <c r="O16" i="11"/>
  <c r="H17" i="11"/>
  <c r="R16" i="11"/>
  <c r="M16" i="11"/>
  <c r="T16" i="11"/>
  <c r="U16" i="11"/>
  <c r="N16" i="11"/>
  <c r="J16" i="11"/>
  <c r="K16" i="11"/>
  <c r="Q16" i="11"/>
  <c r="P16" i="11"/>
  <c r="N17" i="11" l="1"/>
  <c r="K17" i="11"/>
  <c r="S17" i="11"/>
  <c r="O17" i="11"/>
  <c r="U17" i="11"/>
  <c r="R17" i="11"/>
  <c r="L17" i="11"/>
  <c r="H18" i="11"/>
  <c r="I17" i="11"/>
  <c r="M17" i="11"/>
  <c r="T17" i="11"/>
  <c r="J17" i="11"/>
  <c r="Q17" i="11"/>
  <c r="P17" i="11"/>
  <c r="U18" i="11" l="1"/>
  <c r="M18" i="11"/>
  <c r="L18" i="11"/>
  <c r="O18" i="11"/>
  <c r="I18" i="11"/>
  <c r="N18" i="11"/>
  <c r="S18" i="11"/>
  <c r="K18" i="11"/>
  <c r="H19" i="11"/>
  <c r="J18" i="11"/>
  <c r="T18" i="11"/>
  <c r="R18" i="11"/>
  <c r="P18" i="11"/>
  <c r="Q18" i="11"/>
  <c r="I19" i="11" l="1"/>
  <c r="N19" i="11"/>
  <c r="T19" i="11"/>
  <c r="R19" i="11"/>
  <c r="S19" i="11"/>
  <c r="M19" i="11"/>
  <c r="H20" i="11"/>
  <c r="L19" i="11"/>
  <c r="K19" i="11"/>
  <c r="O19" i="11"/>
  <c r="J19" i="11"/>
  <c r="U19" i="11"/>
  <c r="Q19" i="11"/>
  <c r="P19" i="11"/>
  <c r="H21" i="11" l="1"/>
  <c r="J20" i="11"/>
  <c r="L20" i="11"/>
  <c r="R20" i="11"/>
  <c r="I20" i="11"/>
  <c r="U20" i="11"/>
  <c r="K20" i="11"/>
  <c r="S20" i="11"/>
  <c r="O20" i="11"/>
  <c r="T20" i="11"/>
  <c r="M20" i="11"/>
  <c r="N20" i="11"/>
  <c r="Q20" i="11"/>
  <c r="P20" i="11"/>
  <c r="J21" i="11" l="1"/>
  <c r="K21" i="11"/>
  <c r="R21" i="11"/>
  <c r="I21" i="11"/>
  <c r="H22" i="11"/>
  <c r="S21" i="11"/>
  <c r="O21" i="11"/>
  <c r="L21" i="11"/>
  <c r="M21" i="11"/>
  <c r="U21" i="11"/>
  <c r="N21" i="11"/>
  <c r="T21" i="11"/>
  <c r="P21" i="11"/>
  <c r="Q21" i="11"/>
  <c r="M22" i="11" l="1"/>
  <c r="T22" i="11"/>
  <c r="S22" i="11"/>
  <c r="O22" i="11"/>
  <c r="N22" i="11"/>
  <c r="R22" i="11"/>
  <c r="I22" i="11"/>
  <c r="J22" i="11"/>
  <c r="H23" i="11"/>
  <c r="L22" i="11"/>
  <c r="U22" i="11"/>
  <c r="K22" i="11"/>
  <c r="P22" i="11"/>
  <c r="Q22" i="11"/>
  <c r="H24" i="11" l="1"/>
  <c r="O23" i="11"/>
  <c r="L23" i="11"/>
  <c r="M23" i="11"/>
  <c r="R23" i="11"/>
  <c r="J23" i="11"/>
  <c r="U23" i="11"/>
  <c r="S23" i="11"/>
  <c r="T23" i="11"/>
  <c r="K23" i="11"/>
  <c r="I23" i="11"/>
  <c r="N23" i="11"/>
  <c r="Q23" i="11"/>
  <c r="P23" i="11"/>
  <c r="L24" i="11" l="1"/>
  <c r="R24" i="11"/>
  <c r="K24" i="11"/>
  <c r="J24" i="11"/>
  <c r="I24" i="11"/>
  <c r="N24" i="11"/>
  <c r="O24" i="11"/>
  <c r="M24" i="11"/>
  <c r="T24" i="11"/>
  <c r="H25" i="11"/>
  <c r="U24" i="11"/>
  <c r="S24" i="11"/>
  <c r="Q24" i="11"/>
  <c r="P24" i="11"/>
  <c r="I25" i="11" l="1"/>
  <c r="O25" i="11"/>
  <c r="T25" i="11"/>
  <c r="M25" i="11"/>
  <c r="L25" i="11"/>
  <c r="S25" i="11"/>
  <c r="N25" i="11"/>
  <c r="K25" i="11"/>
  <c r="R25" i="11"/>
  <c r="H26" i="11"/>
  <c r="U25" i="11"/>
  <c r="J25" i="11"/>
  <c r="Q25" i="11"/>
  <c r="P25" i="11"/>
  <c r="R26" i="11" l="1"/>
  <c r="N26" i="11"/>
  <c r="K26" i="11"/>
  <c r="O26" i="11"/>
  <c r="M26" i="11"/>
  <c r="I26" i="11"/>
  <c r="S26" i="11"/>
  <c r="H27" i="11"/>
  <c r="T26" i="11"/>
  <c r="U26" i="11"/>
  <c r="L26" i="11"/>
  <c r="J26" i="11"/>
  <c r="Q26" i="11"/>
  <c r="P26" i="11"/>
  <c r="I27" i="11" l="1"/>
  <c r="O27" i="11"/>
  <c r="N27" i="11"/>
  <c r="U27" i="11"/>
  <c r="L27" i="11"/>
  <c r="S27" i="11"/>
  <c r="R27" i="11"/>
  <c r="H28" i="11"/>
  <c r="T27" i="11"/>
  <c r="J27" i="11"/>
  <c r="K27" i="11"/>
  <c r="M27" i="11"/>
  <c r="P27" i="11"/>
  <c r="Q27" i="11"/>
  <c r="K28" i="11" l="1"/>
  <c r="H29" i="11"/>
  <c r="T28" i="11"/>
  <c r="L28" i="11"/>
  <c r="U28" i="11"/>
  <c r="R28" i="11"/>
  <c r="O28" i="11"/>
  <c r="I28" i="11"/>
  <c r="M28" i="11"/>
  <c r="S28" i="11"/>
  <c r="J28" i="11"/>
  <c r="N28" i="11"/>
  <c r="Q28" i="11"/>
  <c r="P28" i="11"/>
  <c r="T29" i="11" l="1"/>
  <c r="S29" i="11"/>
  <c r="K29" i="11"/>
  <c r="R29" i="11"/>
  <c r="O29" i="11"/>
  <c r="H30" i="11"/>
  <c r="U29" i="11"/>
  <c r="M29" i="11"/>
  <c r="N29" i="11"/>
  <c r="L29" i="11"/>
  <c r="J29" i="11"/>
  <c r="I29" i="11"/>
  <c r="P29" i="11"/>
  <c r="Q29" i="11"/>
  <c r="L30" i="11" l="1"/>
  <c r="R30" i="11"/>
  <c r="T30" i="11"/>
  <c r="N30" i="11"/>
  <c r="I30" i="11"/>
  <c r="U30" i="11"/>
  <c r="S30" i="11"/>
  <c r="K30" i="11"/>
  <c r="H31" i="11"/>
  <c r="M30" i="11"/>
  <c r="O30" i="11"/>
  <c r="J30" i="11"/>
  <c r="P30" i="11"/>
  <c r="Q30" i="11"/>
  <c r="U31" i="11" l="1"/>
  <c r="H32" i="11"/>
  <c r="K31" i="11"/>
  <c r="R31" i="11"/>
  <c r="J31" i="11"/>
  <c r="N31" i="11"/>
  <c r="T31" i="11"/>
  <c r="S31" i="11"/>
  <c r="I31" i="11"/>
  <c r="M31" i="11"/>
  <c r="O31" i="11"/>
  <c r="L31" i="11"/>
  <c r="Q31" i="11"/>
  <c r="P31" i="11"/>
  <c r="J32" i="11" l="1"/>
  <c r="T32" i="11"/>
  <c r="R32" i="11"/>
  <c r="U32" i="11"/>
  <c r="L32" i="11"/>
  <c r="M32" i="11"/>
  <c r="O32" i="11"/>
  <c r="K32" i="11"/>
  <c r="N32" i="11"/>
  <c r="H33" i="11"/>
  <c r="S32" i="11"/>
  <c r="I32" i="11"/>
  <c r="Q32" i="11"/>
  <c r="P32" i="11"/>
  <c r="N33" i="11" l="1"/>
  <c r="O33" i="11"/>
  <c r="U33" i="11"/>
  <c r="M33" i="11"/>
  <c r="R33" i="11"/>
  <c r="L33" i="11"/>
  <c r="I33" i="11"/>
  <c r="J33" i="11"/>
  <c r="K33" i="11"/>
  <c r="H34" i="11"/>
  <c r="T33" i="11"/>
  <c r="S33" i="11"/>
  <c r="P33" i="11"/>
  <c r="Q33" i="11"/>
  <c r="J34" i="11" l="1"/>
  <c r="U34" i="11"/>
  <c r="R34" i="11"/>
  <c r="N34" i="11"/>
  <c r="I34" i="11"/>
  <c r="K34" i="11"/>
  <c r="M34" i="11"/>
  <c r="T34" i="11"/>
  <c r="S34" i="11"/>
  <c r="H35" i="11"/>
  <c r="L34" i="11"/>
  <c r="O34" i="11"/>
  <c r="Q34" i="11"/>
  <c r="P34" i="11"/>
  <c r="T35" i="11" l="1"/>
  <c r="J35" i="11"/>
  <c r="S35" i="11"/>
  <c r="K35" i="11"/>
  <c r="H36" i="11"/>
  <c r="L35" i="11"/>
  <c r="U35" i="11"/>
  <c r="M35" i="11"/>
  <c r="N35" i="11"/>
  <c r="R35" i="11"/>
  <c r="O35" i="11"/>
  <c r="I35" i="11"/>
  <c r="Q35" i="11"/>
  <c r="P35" i="11"/>
  <c r="U36" i="11" l="1"/>
  <c r="L36" i="11"/>
  <c r="T36" i="11"/>
  <c r="N36" i="11"/>
  <c r="R36" i="11"/>
  <c r="M36" i="11"/>
  <c r="H37" i="11"/>
  <c r="I36" i="11"/>
  <c r="K36" i="11"/>
  <c r="O36" i="11"/>
  <c r="J36" i="11"/>
  <c r="S36" i="11"/>
  <c r="Q36" i="11"/>
  <c r="P36" i="11"/>
  <c r="K37" i="11" l="1"/>
  <c r="R37" i="11"/>
  <c r="M37" i="11"/>
  <c r="S37" i="11"/>
  <c r="N37" i="11"/>
  <c r="L37" i="11"/>
  <c r="J37" i="11"/>
  <c r="T37" i="11"/>
  <c r="I37" i="11"/>
  <c r="H38" i="11"/>
  <c r="O37" i="11"/>
  <c r="U37" i="11"/>
  <c r="P37" i="11"/>
  <c r="Q37" i="11"/>
  <c r="O38" i="11" l="1"/>
  <c r="L38" i="11"/>
  <c r="N38" i="11"/>
  <c r="R38" i="11"/>
  <c r="I38" i="11"/>
  <c r="U38" i="11"/>
  <c r="K38" i="11"/>
  <c r="S38" i="11"/>
  <c r="M38" i="11"/>
  <c r="T38" i="11"/>
  <c r="H39" i="11"/>
  <c r="J38" i="11"/>
  <c r="Q38" i="11"/>
  <c r="P38" i="11"/>
  <c r="N39" i="11" l="1"/>
  <c r="O39" i="11"/>
  <c r="M39" i="11"/>
  <c r="S39" i="11"/>
  <c r="I39" i="11"/>
  <c r="J39" i="11"/>
  <c r="U39" i="11"/>
  <c r="L39" i="11"/>
  <c r="T39" i="11"/>
  <c r="R39" i="11"/>
  <c r="H40" i="11"/>
  <c r="K39" i="11"/>
  <c r="Q39" i="11"/>
  <c r="P39" i="11"/>
  <c r="N40" i="11" l="1"/>
  <c r="S40" i="11"/>
  <c r="M40" i="11"/>
  <c r="J40" i="11"/>
  <c r="T40" i="11"/>
  <c r="U40" i="11"/>
  <c r="I40" i="11"/>
  <c r="L40" i="11"/>
  <c r="K40" i="11"/>
  <c r="O40" i="11"/>
  <c r="H41" i="11"/>
  <c r="R40" i="11"/>
  <c r="P40" i="11"/>
  <c r="Q40" i="11"/>
  <c r="L41" i="11" l="1"/>
  <c r="S41" i="11"/>
  <c r="I41" i="11"/>
  <c r="O41" i="11"/>
  <c r="H42" i="11"/>
  <c r="U41" i="11"/>
  <c r="J41" i="11"/>
  <c r="R41" i="11"/>
  <c r="N41" i="11"/>
  <c r="M41" i="11"/>
  <c r="T41" i="11"/>
  <c r="K41" i="11"/>
  <c r="Q41" i="11"/>
  <c r="P41" i="11"/>
  <c r="R42" i="11" l="1"/>
  <c r="K42" i="11"/>
  <c r="U42" i="11"/>
  <c r="N42" i="11"/>
  <c r="S42" i="11"/>
  <c r="T42" i="11"/>
  <c r="L42" i="11"/>
  <c r="M42" i="11"/>
  <c r="O42" i="11"/>
  <c r="J42" i="11"/>
  <c r="H43" i="11"/>
  <c r="I42" i="11"/>
  <c r="Q42" i="11"/>
  <c r="P42" i="11"/>
  <c r="I43" i="11" l="1"/>
  <c r="H44" i="11"/>
  <c r="S43" i="11"/>
  <c r="J43" i="11"/>
  <c r="K43" i="11"/>
  <c r="L43" i="11"/>
  <c r="N43" i="11"/>
  <c r="U43" i="11"/>
  <c r="T43" i="11"/>
  <c r="M43" i="11"/>
  <c r="R43" i="11"/>
  <c r="O43" i="11"/>
  <c r="P43" i="11"/>
  <c r="Q43" i="11"/>
  <c r="S44" i="11" l="1"/>
  <c r="R44" i="11"/>
  <c r="O44" i="11"/>
  <c r="L44" i="11"/>
  <c r="K44" i="11"/>
  <c r="T44" i="11"/>
  <c r="M44" i="11"/>
  <c r="N44" i="11"/>
  <c r="U44" i="11"/>
  <c r="H45" i="11"/>
  <c r="I44" i="11"/>
  <c r="J44" i="11"/>
  <c r="P44" i="11"/>
  <c r="Q44" i="11"/>
  <c r="T45" i="11" l="1"/>
  <c r="S45" i="11"/>
  <c r="O45" i="11"/>
  <c r="K45" i="11"/>
  <c r="H46" i="11"/>
  <c r="M45" i="11"/>
  <c r="N45" i="11"/>
  <c r="J45" i="11"/>
  <c r="R45" i="11"/>
  <c r="L45" i="11"/>
  <c r="U45" i="11"/>
  <c r="I45" i="11"/>
  <c r="Q45" i="11"/>
  <c r="P45" i="11"/>
  <c r="U46" i="11" l="1"/>
  <c r="O46" i="11"/>
  <c r="N46" i="11"/>
  <c r="R46" i="11"/>
  <c r="I46" i="11"/>
  <c r="S46" i="11"/>
  <c r="K46" i="11"/>
  <c r="H47" i="11"/>
  <c r="J46" i="11"/>
  <c r="M46" i="11"/>
  <c r="T46" i="11"/>
  <c r="L46" i="11"/>
  <c r="Q46" i="11"/>
  <c r="P46" i="11"/>
  <c r="L47" i="11" l="1"/>
  <c r="I47" i="11"/>
  <c r="K47" i="11"/>
  <c r="T47" i="11"/>
  <c r="R47" i="11"/>
  <c r="O47" i="11"/>
  <c r="M47" i="11"/>
  <c r="H48" i="11"/>
  <c r="S47" i="11"/>
  <c r="N47" i="11"/>
  <c r="J47" i="11"/>
  <c r="U47" i="11"/>
  <c r="P47" i="11"/>
  <c r="Q47" i="11"/>
  <c r="K48" i="11" l="1"/>
  <c r="R48" i="11"/>
  <c r="O48" i="11"/>
  <c r="I48" i="11"/>
  <c r="S48" i="11"/>
  <c r="U48" i="11"/>
  <c r="H49" i="11"/>
  <c r="J48" i="11"/>
  <c r="N48" i="11"/>
  <c r="T48" i="11"/>
  <c r="L48" i="11"/>
  <c r="M48" i="11"/>
  <c r="P48" i="11"/>
  <c r="Q48" i="11"/>
  <c r="L49" i="11" l="1"/>
  <c r="K49" i="11"/>
  <c r="H50" i="11"/>
  <c r="T49" i="11"/>
  <c r="N49" i="11"/>
  <c r="M49" i="11"/>
  <c r="O49" i="11"/>
  <c r="R49" i="11"/>
  <c r="U49" i="11"/>
  <c r="I49" i="11"/>
  <c r="S49" i="11"/>
  <c r="J49" i="11"/>
  <c r="P49" i="11"/>
  <c r="Q49" i="11"/>
  <c r="K50" i="11" l="1"/>
  <c r="J50" i="11"/>
  <c r="N50" i="11"/>
  <c r="R50" i="11"/>
  <c r="U50" i="11"/>
  <c r="I50" i="11"/>
  <c r="L50" i="11"/>
  <c r="H51" i="11"/>
  <c r="S50" i="11"/>
  <c r="O50" i="11"/>
  <c r="T50" i="11"/>
  <c r="M50" i="11"/>
  <c r="P50" i="11"/>
  <c r="Q50" i="11"/>
  <c r="K51" i="11" l="1"/>
  <c r="I51" i="11"/>
  <c r="T51" i="11"/>
  <c r="L51" i="11"/>
  <c r="U51" i="11"/>
  <c r="S51" i="11"/>
  <c r="M51" i="11"/>
  <c r="J51" i="11"/>
  <c r="R51" i="11"/>
  <c r="O51" i="11"/>
  <c r="H52" i="11"/>
  <c r="N51" i="11"/>
  <c r="Q51" i="11"/>
  <c r="P51" i="11"/>
  <c r="N52" i="11" l="1"/>
  <c r="S52" i="11"/>
  <c r="K52" i="11"/>
  <c r="M52" i="11"/>
  <c r="T52" i="11"/>
  <c r="I52" i="11"/>
  <c r="J52" i="11"/>
  <c r="O52" i="11"/>
  <c r="R52" i="11"/>
  <c r="H53" i="11"/>
  <c r="U52" i="11"/>
  <c r="L52" i="11"/>
  <c r="Q52" i="11"/>
  <c r="P52" i="11"/>
  <c r="L53" i="11" l="1"/>
  <c r="T53" i="11"/>
  <c r="O53" i="11"/>
  <c r="R53" i="11"/>
  <c r="H54" i="11"/>
  <c r="M53" i="11"/>
  <c r="K53" i="11"/>
  <c r="S53" i="11"/>
  <c r="J53" i="11"/>
  <c r="N53" i="11"/>
  <c r="U53" i="11"/>
  <c r="I53" i="11"/>
  <c r="P53" i="11"/>
  <c r="Q53" i="11"/>
  <c r="S54" i="11" l="1"/>
  <c r="R54" i="11"/>
  <c r="U54" i="11"/>
  <c r="M54" i="11"/>
  <c r="T54" i="11"/>
  <c r="H55" i="11"/>
  <c r="K54" i="11"/>
  <c r="L54" i="11"/>
  <c r="I54" i="11"/>
  <c r="O54" i="11"/>
  <c r="N54" i="11"/>
  <c r="J54" i="11"/>
  <c r="P54" i="11"/>
  <c r="Q54" i="11"/>
  <c r="I55" i="11" l="1"/>
  <c r="R55" i="11"/>
  <c r="M55" i="11"/>
  <c r="S55" i="11"/>
  <c r="O55" i="11"/>
  <c r="U55" i="11"/>
  <c r="T55" i="11"/>
  <c r="J55" i="11"/>
  <c r="L55" i="11"/>
  <c r="N55" i="11"/>
  <c r="H56" i="11"/>
  <c r="K55" i="11"/>
  <c r="P55" i="11"/>
  <c r="Q55" i="11"/>
  <c r="U56" i="11" l="1"/>
  <c r="M56" i="11"/>
  <c r="J56" i="11"/>
  <c r="K56" i="11"/>
  <c r="I56" i="11"/>
  <c r="R56" i="11"/>
  <c r="H57" i="11"/>
  <c r="N56" i="11"/>
  <c r="L56" i="11"/>
  <c r="O56" i="11"/>
  <c r="S56" i="11"/>
  <c r="T56" i="11"/>
  <c r="Q56" i="11"/>
  <c r="P56" i="11"/>
  <c r="M57" i="11" l="1"/>
  <c r="T57" i="11"/>
  <c r="J57" i="11"/>
  <c r="I57" i="11"/>
  <c r="N57" i="11"/>
  <c r="L57" i="11"/>
  <c r="S57" i="11"/>
  <c r="R57" i="11"/>
  <c r="H58" i="11"/>
  <c r="K57" i="11"/>
  <c r="U57" i="11"/>
  <c r="O57" i="11"/>
  <c r="Q57" i="11"/>
  <c r="P57" i="11"/>
  <c r="S58" i="11" l="1"/>
  <c r="N58" i="11"/>
  <c r="U58" i="11"/>
  <c r="I58" i="11"/>
  <c r="L58" i="11"/>
  <c r="H59" i="11"/>
  <c r="M58" i="11"/>
  <c r="O58" i="11"/>
  <c r="J58" i="11"/>
  <c r="R58" i="11"/>
  <c r="K58" i="11"/>
  <c r="T58" i="11"/>
  <c r="Q58" i="11"/>
  <c r="P58" i="11"/>
  <c r="M59" i="11" l="1"/>
  <c r="N59" i="11"/>
  <c r="H60" i="11"/>
  <c r="R59" i="11"/>
  <c r="S59" i="11"/>
  <c r="L59" i="11"/>
  <c r="K59" i="11"/>
  <c r="I59" i="11"/>
  <c r="O59" i="11"/>
  <c r="U59" i="11"/>
  <c r="J59" i="11"/>
  <c r="T59" i="11"/>
  <c r="P59" i="11"/>
  <c r="Q59" i="11"/>
  <c r="M60" i="11" l="1"/>
  <c r="S60" i="11"/>
  <c r="K60" i="11"/>
  <c r="I60" i="11"/>
  <c r="N60" i="11"/>
  <c r="J60" i="11"/>
  <c r="H61" i="11"/>
  <c r="R60" i="11"/>
  <c r="L60" i="11"/>
  <c r="O60" i="11"/>
  <c r="U60" i="11"/>
  <c r="T60" i="11"/>
  <c r="Q60" i="11"/>
  <c r="P60" i="11"/>
  <c r="U61" i="11" l="1"/>
  <c r="O61" i="11"/>
  <c r="L61" i="11"/>
  <c r="H62" i="11"/>
  <c r="T61" i="11"/>
  <c r="S61" i="11"/>
  <c r="M61" i="11"/>
  <c r="N61" i="11"/>
  <c r="I61" i="11"/>
  <c r="J61" i="11"/>
  <c r="R61" i="11"/>
  <c r="K61" i="11"/>
  <c r="P61" i="11"/>
  <c r="Q61" i="11"/>
  <c r="L62" i="11" l="1"/>
  <c r="N62" i="11"/>
  <c r="T62" i="11"/>
  <c r="I62" i="11"/>
  <c r="K62" i="11"/>
  <c r="O62" i="11"/>
  <c r="U62" i="11"/>
  <c r="R62" i="11"/>
  <c r="H63" i="11"/>
  <c r="M62" i="11"/>
  <c r="J62" i="11"/>
  <c r="S62" i="11"/>
  <c r="P62" i="11"/>
  <c r="Q62" i="11"/>
  <c r="K63" i="11" l="1"/>
  <c r="T63" i="11"/>
  <c r="I63" i="11"/>
  <c r="L63" i="11"/>
  <c r="S63" i="11"/>
  <c r="M63" i="11"/>
  <c r="N63" i="11"/>
  <c r="R63" i="11"/>
  <c r="U63" i="11"/>
  <c r="O63" i="11"/>
  <c r="H64" i="11"/>
  <c r="J63" i="11"/>
  <c r="Q63" i="11"/>
  <c r="P63" i="11"/>
  <c r="T64" i="11" l="1"/>
  <c r="K64" i="11"/>
  <c r="N64" i="11"/>
  <c r="O64" i="11"/>
  <c r="M64" i="11"/>
  <c r="J64" i="11"/>
  <c r="U64" i="11"/>
  <c r="S64" i="11"/>
  <c r="L64" i="11"/>
  <c r="H65" i="11"/>
  <c r="I64" i="11"/>
  <c r="R64" i="11"/>
  <c r="P64" i="11"/>
  <c r="Q64" i="11"/>
  <c r="T65" i="11" l="1"/>
  <c r="N65" i="11"/>
  <c r="U65" i="11"/>
  <c r="O65" i="11"/>
  <c r="J65" i="11"/>
  <c r="I65" i="11"/>
  <c r="K65" i="11"/>
  <c r="L65" i="11"/>
  <c r="R65" i="11"/>
  <c r="H66" i="11"/>
  <c r="S65" i="11"/>
  <c r="M65" i="11"/>
  <c r="P65" i="11"/>
  <c r="Q65" i="11"/>
  <c r="J66" i="11" l="1"/>
  <c r="S66" i="11"/>
  <c r="N66" i="11"/>
  <c r="K66" i="11"/>
  <c r="T66" i="11"/>
  <c r="M66" i="11"/>
  <c r="L66" i="11"/>
  <c r="I66" i="11"/>
  <c r="H67" i="11"/>
  <c r="U66" i="11"/>
  <c r="R66" i="11"/>
  <c r="O66" i="11"/>
  <c r="P66" i="11"/>
  <c r="Q66" i="11"/>
  <c r="N67" i="11" l="1"/>
  <c r="K67" i="11"/>
  <c r="J67" i="11"/>
  <c r="H68" i="11"/>
  <c r="L67" i="11"/>
  <c r="R67" i="11"/>
  <c r="M67" i="11"/>
  <c r="U67" i="11"/>
  <c r="I67" i="11"/>
  <c r="T67" i="11"/>
  <c r="O67" i="11"/>
  <c r="S67" i="11"/>
  <c r="Q67" i="11"/>
  <c r="P67" i="11"/>
  <c r="T68" i="11" l="1"/>
  <c r="H69" i="11"/>
  <c r="U68" i="11"/>
  <c r="L68" i="11"/>
  <c r="J68" i="11"/>
  <c r="N68" i="11"/>
  <c r="K68" i="11"/>
  <c r="S68" i="11"/>
  <c r="I68" i="11"/>
  <c r="R68" i="11"/>
  <c r="M68" i="11"/>
  <c r="O68" i="11"/>
  <c r="P68" i="11"/>
  <c r="Q68" i="11"/>
  <c r="R69" i="11" l="1"/>
  <c r="T69" i="11"/>
  <c r="K69" i="11"/>
  <c r="H70" i="11"/>
  <c r="N69" i="11"/>
  <c r="U69" i="11"/>
  <c r="I69" i="11"/>
  <c r="J69" i="11"/>
  <c r="M69" i="11"/>
  <c r="S69" i="11"/>
  <c r="O69" i="11"/>
  <c r="L69" i="11"/>
  <c r="Q69" i="11"/>
  <c r="P69" i="11"/>
  <c r="U70" i="11" l="1"/>
  <c r="L70" i="11"/>
  <c r="O70" i="11"/>
  <c r="J70" i="11"/>
  <c r="T70" i="11"/>
  <c r="S70" i="11"/>
  <c r="I70" i="11"/>
  <c r="H71" i="11"/>
  <c r="K70" i="11"/>
  <c r="N70" i="11"/>
  <c r="M70" i="11"/>
  <c r="R70" i="11"/>
  <c r="Q70" i="11"/>
  <c r="P70" i="11"/>
  <c r="I71" i="11" l="1"/>
  <c r="J71" i="11"/>
  <c r="L71" i="11"/>
  <c r="O71" i="11"/>
  <c r="N71" i="11"/>
  <c r="U71" i="11"/>
  <c r="K71" i="11"/>
  <c r="H72" i="11"/>
  <c r="S71" i="11"/>
  <c r="M71" i="11"/>
  <c r="R71" i="11"/>
  <c r="T71" i="11"/>
  <c r="Q71" i="11"/>
  <c r="P71" i="11"/>
  <c r="N72" i="11" l="1"/>
  <c r="J72" i="11"/>
  <c r="O72" i="11"/>
  <c r="K72" i="11"/>
  <c r="H73" i="11"/>
  <c r="L72" i="11"/>
  <c r="S72" i="11"/>
  <c r="M72" i="11"/>
  <c r="I72" i="11"/>
  <c r="U72" i="11"/>
  <c r="T72" i="11"/>
  <c r="R72" i="11"/>
  <c r="Q72" i="11"/>
  <c r="P72" i="11"/>
  <c r="T73" i="11" l="1"/>
  <c r="K73" i="11"/>
  <c r="O73" i="11"/>
  <c r="M73" i="11"/>
  <c r="S73" i="11"/>
  <c r="N73" i="11"/>
  <c r="U73" i="11"/>
  <c r="J73" i="11"/>
  <c r="H74" i="11"/>
  <c r="I73" i="11"/>
  <c r="R73" i="11"/>
  <c r="L73" i="11"/>
  <c r="P73" i="11"/>
  <c r="Q73" i="11"/>
  <c r="K74" i="11" l="1"/>
  <c r="H75" i="11"/>
  <c r="O74" i="11"/>
  <c r="U74" i="11"/>
  <c r="M74" i="11"/>
  <c r="J74" i="11"/>
  <c r="I74" i="11"/>
  <c r="S74" i="11"/>
  <c r="R74" i="11"/>
  <c r="N74" i="11"/>
  <c r="L74" i="11"/>
  <c r="T74" i="11"/>
  <c r="P74" i="11"/>
  <c r="Q74" i="11"/>
  <c r="S75" i="11" l="1"/>
  <c r="J75" i="11"/>
  <c r="M75" i="11"/>
  <c r="T75" i="11"/>
  <c r="N75" i="11"/>
  <c r="R75" i="11"/>
  <c r="H76" i="11"/>
  <c r="K75" i="11"/>
  <c r="I75" i="11"/>
  <c r="L75" i="11"/>
  <c r="U75" i="11"/>
  <c r="O75" i="11"/>
  <c r="P75" i="11"/>
  <c r="Q75" i="11"/>
  <c r="L76" i="11" l="1"/>
  <c r="R76" i="11"/>
  <c r="N76" i="11"/>
  <c r="U76" i="11"/>
  <c r="O76" i="11"/>
  <c r="S76" i="11"/>
  <c r="J76" i="11"/>
  <c r="M76" i="11"/>
  <c r="I76" i="11"/>
  <c r="K76" i="11"/>
  <c r="T76" i="11"/>
  <c r="H77" i="11"/>
  <c r="P76" i="11"/>
  <c r="Q76" i="11"/>
  <c r="K77" i="11" l="1"/>
  <c r="N77" i="11"/>
  <c r="I77" i="11"/>
  <c r="R77" i="11"/>
  <c r="H78" i="11"/>
  <c r="O77" i="11"/>
  <c r="J77" i="11"/>
  <c r="T77" i="11"/>
  <c r="M77" i="11"/>
  <c r="S77" i="11"/>
  <c r="L77" i="11"/>
  <c r="U77" i="11"/>
  <c r="P77" i="11"/>
  <c r="Q77" i="11"/>
  <c r="O78" i="11" l="1"/>
  <c r="J78" i="11"/>
  <c r="N78" i="11"/>
  <c r="I78" i="11"/>
  <c r="H79" i="11"/>
  <c r="T78" i="11"/>
  <c r="M78" i="11"/>
  <c r="K78" i="11"/>
  <c r="R78" i="11"/>
  <c r="U78" i="11"/>
  <c r="S78" i="11"/>
  <c r="L78" i="11"/>
  <c r="Q78" i="11"/>
  <c r="P78" i="11"/>
  <c r="M79" i="11" l="1"/>
  <c r="K79" i="11"/>
  <c r="N79" i="11"/>
  <c r="L79" i="11"/>
  <c r="J79" i="11"/>
  <c r="U79" i="11"/>
  <c r="R79" i="11"/>
  <c r="S79" i="11"/>
  <c r="I79" i="11"/>
  <c r="H80" i="11"/>
  <c r="O79" i="11"/>
  <c r="T79" i="11"/>
  <c r="Q79" i="11"/>
  <c r="P79" i="11"/>
  <c r="S80" i="11" l="1"/>
  <c r="K80" i="11"/>
  <c r="L80" i="11"/>
  <c r="T80" i="11"/>
  <c r="U80" i="11"/>
  <c r="M80" i="11"/>
  <c r="J80" i="11"/>
  <c r="N80" i="11"/>
  <c r="R80" i="11"/>
  <c r="O80" i="11"/>
  <c r="H81" i="11"/>
  <c r="I80" i="11"/>
  <c r="P80" i="11"/>
  <c r="Q80" i="11"/>
  <c r="K81" i="11" l="1"/>
  <c r="R81" i="11"/>
  <c r="S81" i="11"/>
  <c r="U81" i="11"/>
  <c r="O81" i="11"/>
  <c r="L81" i="11"/>
  <c r="N81" i="11"/>
  <c r="J81" i="11"/>
  <c r="M81" i="11"/>
  <c r="T81" i="11"/>
  <c r="H82" i="11"/>
  <c r="I81" i="11"/>
  <c r="P81" i="11"/>
  <c r="Q81" i="11"/>
  <c r="S82" i="11" l="1"/>
  <c r="U82" i="11"/>
  <c r="T82" i="11"/>
  <c r="N82" i="11"/>
  <c r="R82" i="11"/>
  <c r="K82" i="11"/>
  <c r="J82" i="11"/>
  <c r="O82" i="11"/>
  <c r="L82" i="11"/>
  <c r="M82" i="11"/>
  <c r="H83" i="11"/>
  <c r="I82" i="11"/>
  <c r="Q82" i="11"/>
  <c r="P82" i="11"/>
  <c r="K83" i="11" l="1"/>
  <c r="M83" i="11"/>
  <c r="I83" i="11"/>
  <c r="O83" i="11"/>
  <c r="T83" i="11"/>
  <c r="R83" i="11"/>
  <c r="H84" i="11"/>
  <c r="S83" i="11"/>
  <c r="N83" i="11"/>
  <c r="J83" i="11"/>
  <c r="U83" i="11"/>
  <c r="L83" i="11"/>
  <c r="P83" i="11"/>
  <c r="Q83" i="11"/>
  <c r="H85" i="11" l="1"/>
  <c r="I84" i="11"/>
  <c r="J84" i="11"/>
  <c r="N84" i="11"/>
  <c r="R84" i="11"/>
  <c r="S84" i="11"/>
  <c r="T84" i="11"/>
  <c r="L84" i="11"/>
  <c r="M84" i="11"/>
  <c r="K84" i="11"/>
  <c r="U84" i="11"/>
  <c r="O84" i="11"/>
  <c r="Q84" i="11"/>
  <c r="P84" i="11"/>
  <c r="U85" i="11" l="1"/>
  <c r="O85" i="11"/>
  <c r="T85" i="11"/>
  <c r="L85" i="11"/>
  <c r="N85" i="11"/>
  <c r="H86" i="11"/>
  <c r="M85" i="11"/>
  <c r="S85" i="11"/>
  <c r="I85" i="11"/>
  <c r="K85" i="11"/>
  <c r="R85" i="11"/>
  <c r="J85" i="11"/>
  <c r="P85" i="11"/>
  <c r="Q85" i="11"/>
  <c r="N86" i="11" l="1"/>
  <c r="K86" i="11"/>
  <c r="L86" i="11"/>
  <c r="R86" i="11"/>
  <c r="J86" i="11"/>
  <c r="O86" i="11"/>
  <c r="T86" i="11"/>
  <c r="H87" i="11"/>
  <c r="S86" i="11"/>
  <c r="I86" i="11"/>
  <c r="U86" i="11"/>
  <c r="M86" i="11"/>
  <c r="Q86" i="11"/>
  <c r="P86" i="11"/>
  <c r="J87" i="11" l="1"/>
  <c r="I87" i="11"/>
  <c r="K87" i="11"/>
  <c r="R87" i="11"/>
  <c r="U87" i="11"/>
  <c r="H88" i="11"/>
  <c r="L87" i="11"/>
  <c r="T87" i="11"/>
  <c r="M87" i="11"/>
  <c r="S87" i="11"/>
  <c r="N87" i="11"/>
  <c r="O87" i="11"/>
  <c r="P87" i="11"/>
  <c r="Q87" i="11"/>
  <c r="H89" i="11" l="1"/>
  <c r="N88" i="11"/>
  <c r="S88" i="11"/>
  <c r="J88" i="11"/>
  <c r="R88" i="11"/>
  <c r="U88" i="11"/>
  <c r="I88" i="11"/>
  <c r="L88" i="11"/>
  <c r="O88" i="11"/>
  <c r="K88" i="11"/>
  <c r="M88" i="11"/>
  <c r="T88" i="11"/>
  <c r="Q88" i="11"/>
  <c r="P88" i="11"/>
  <c r="L89" i="11" l="1"/>
  <c r="O89" i="11"/>
  <c r="K89" i="11"/>
  <c r="J89" i="11"/>
  <c r="S89" i="11"/>
  <c r="T89" i="11"/>
  <c r="I89" i="11"/>
  <c r="N89" i="11"/>
  <c r="M89" i="11"/>
  <c r="U89" i="11"/>
  <c r="R89" i="11"/>
  <c r="H90" i="11"/>
  <c r="P89" i="11"/>
  <c r="Q89" i="11"/>
  <c r="T90" i="11" l="1"/>
  <c r="M90" i="11"/>
  <c r="O90" i="11"/>
  <c r="S90" i="11"/>
  <c r="L90" i="11"/>
  <c r="K90" i="11"/>
  <c r="U90" i="11"/>
  <c r="J90" i="11"/>
  <c r="H91" i="11"/>
  <c r="I90" i="11"/>
  <c r="N90" i="11"/>
  <c r="R90" i="11"/>
  <c r="P90" i="11"/>
  <c r="Q90" i="11"/>
  <c r="R91" i="11" l="1"/>
  <c r="M91" i="11"/>
  <c r="L91" i="11"/>
  <c r="H92" i="11"/>
  <c r="N91" i="11"/>
  <c r="T91" i="11"/>
  <c r="I91" i="11"/>
  <c r="J91" i="11"/>
  <c r="U91" i="11"/>
  <c r="S91" i="11"/>
  <c r="K91" i="11"/>
  <c r="O91" i="11"/>
  <c r="P91" i="11"/>
  <c r="Q91" i="11"/>
  <c r="K92" i="11" l="1"/>
  <c r="L92" i="11"/>
  <c r="N92" i="11"/>
  <c r="O92" i="11"/>
  <c r="U92" i="11"/>
  <c r="S92" i="11"/>
  <c r="I92" i="11"/>
  <c r="T92" i="11"/>
  <c r="H93" i="11"/>
  <c r="R92" i="11"/>
  <c r="J92" i="11"/>
  <c r="M92" i="11"/>
  <c r="P92" i="11"/>
  <c r="Q92" i="11"/>
  <c r="J93" i="11" l="1"/>
  <c r="O93" i="11"/>
  <c r="T93" i="11"/>
  <c r="U93" i="11"/>
  <c r="N93" i="11"/>
  <c r="K93" i="11"/>
  <c r="I93" i="11"/>
  <c r="L93" i="11"/>
  <c r="S93" i="11"/>
  <c r="R93" i="11"/>
  <c r="H94" i="11"/>
  <c r="M93" i="11"/>
  <c r="P93" i="11"/>
  <c r="Q93" i="11"/>
  <c r="S94" i="11" l="1"/>
  <c r="J94" i="11"/>
  <c r="U94" i="11"/>
  <c r="N94" i="11"/>
  <c r="H95" i="11"/>
  <c r="O94" i="11"/>
  <c r="K94" i="11"/>
  <c r="L94" i="11"/>
  <c r="I94" i="11"/>
  <c r="R94" i="11"/>
  <c r="M94" i="11"/>
  <c r="T94" i="11"/>
  <c r="Q94" i="11"/>
  <c r="P94" i="11"/>
  <c r="I95" i="11" l="1"/>
  <c r="S95" i="11"/>
  <c r="M95" i="11"/>
  <c r="R95" i="11"/>
  <c r="U95" i="11"/>
  <c r="J95" i="11"/>
  <c r="T95" i="11"/>
  <c r="H96" i="11"/>
  <c r="L95" i="11"/>
  <c r="N95" i="11"/>
  <c r="O95" i="11"/>
  <c r="K95" i="11"/>
  <c r="Q95" i="11"/>
  <c r="P95" i="11"/>
  <c r="O96" i="11" l="1"/>
  <c r="S96" i="11"/>
  <c r="M96" i="11"/>
  <c r="N96" i="11"/>
  <c r="J96" i="11"/>
  <c r="H97" i="11"/>
  <c r="I96" i="11"/>
  <c r="R96" i="11"/>
  <c r="K96" i="11"/>
  <c r="L96" i="11"/>
  <c r="U96" i="11"/>
  <c r="T96" i="11"/>
  <c r="P96" i="11"/>
  <c r="Q96" i="11"/>
  <c r="L97" i="11" l="1"/>
  <c r="I97" i="11"/>
  <c r="K97" i="11"/>
  <c r="R97" i="11"/>
  <c r="U97" i="11"/>
  <c r="N97" i="11"/>
  <c r="T97" i="11"/>
  <c r="H98" i="11"/>
  <c r="O97" i="11"/>
  <c r="J97" i="11"/>
  <c r="M97" i="11"/>
  <c r="S97" i="11"/>
  <c r="P97" i="11"/>
  <c r="Q97" i="11"/>
  <c r="M98" i="11" l="1"/>
  <c r="L98" i="11"/>
  <c r="J98" i="11"/>
  <c r="H99" i="11"/>
  <c r="I98" i="11"/>
  <c r="U98" i="11"/>
  <c r="K98" i="11"/>
  <c r="N98" i="11"/>
  <c r="O98" i="11"/>
  <c r="S98" i="11"/>
  <c r="T98" i="11"/>
  <c r="R98" i="11"/>
  <c r="Q98" i="11"/>
  <c r="P98" i="11"/>
  <c r="M99" i="11" l="1"/>
  <c r="S99" i="11"/>
  <c r="I99" i="11"/>
  <c r="K99" i="11"/>
  <c r="J99" i="11"/>
  <c r="T99" i="11"/>
  <c r="O99" i="11"/>
  <c r="N99" i="11"/>
  <c r="R99" i="11"/>
  <c r="L99" i="11"/>
  <c r="U99" i="11"/>
  <c r="H100" i="11"/>
  <c r="Q99" i="11"/>
  <c r="P99" i="11"/>
  <c r="L100" i="11" l="1"/>
  <c r="N100" i="11"/>
  <c r="T100" i="11"/>
  <c r="O100" i="11"/>
  <c r="I100" i="11"/>
  <c r="K100" i="11"/>
  <c r="R100" i="11"/>
  <c r="U100" i="11"/>
  <c r="S100" i="11"/>
  <c r="J100" i="11"/>
  <c r="H101" i="11"/>
  <c r="M100" i="11"/>
  <c r="P100" i="11"/>
  <c r="Q100" i="11"/>
  <c r="O101" i="11" l="1"/>
  <c r="L101" i="11"/>
  <c r="R101" i="11"/>
  <c r="U101" i="11"/>
  <c r="I101" i="11"/>
  <c r="S101" i="11"/>
  <c r="J101" i="11"/>
  <c r="M101" i="11"/>
  <c r="N101" i="11"/>
  <c r="T101" i="11"/>
  <c r="H102" i="11"/>
  <c r="K101" i="11"/>
  <c r="P101" i="11"/>
  <c r="Q101" i="11"/>
  <c r="T102" i="11" l="1"/>
  <c r="R102" i="11"/>
  <c r="O102" i="11"/>
  <c r="N102" i="11"/>
  <c r="L102" i="11"/>
  <c r="M102" i="11"/>
  <c r="J102" i="11"/>
  <c r="S102" i="11"/>
  <c r="K102" i="11"/>
  <c r="H103" i="11"/>
  <c r="I102" i="11"/>
  <c r="U102" i="11"/>
  <c r="Q102" i="11"/>
  <c r="P102" i="11"/>
  <c r="H104" i="11" l="1"/>
  <c r="U103" i="11"/>
  <c r="I103" i="11"/>
  <c r="K103" i="11"/>
  <c r="L103" i="11"/>
  <c r="R103" i="11"/>
  <c r="S103" i="11"/>
  <c r="M103" i="11"/>
  <c r="O103" i="11"/>
  <c r="J103" i="11"/>
  <c r="N103" i="11"/>
  <c r="T103" i="11"/>
  <c r="Q103" i="11"/>
  <c r="P103" i="11"/>
  <c r="U104" i="11" l="1"/>
  <c r="H105" i="11"/>
  <c r="N104" i="11"/>
  <c r="K104" i="11"/>
  <c r="R104" i="11"/>
  <c r="S104" i="11"/>
  <c r="J104" i="11"/>
  <c r="I104" i="11"/>
  <c r="O104" i="11"/>
  <c r="T104" i="11"/>
  <c r="M104" i="11"/>
  <c r="L104" i="11"/>
  <c r="Q104" i="11"/>
  <c r="P104" i="11"/>
  <c r="M105" i="11" l="1"/>
  <c r="J105" i="11"/>
  <c r="L105" i="11"/>
  <c r="K105" i="11"/>
  <c r="S105" i="11"/>
  <c r="T105" i="11"/>
  <c r="N105" i="11"/>
  <c r="O105" i="11"/>
  <c r="H106" i="11"/>
  <c r="R105" i="11"/>
  <c r="U105" i="11"/>
  <c r="I105" i="11"/>
  <c r="Q105" i="11"/>
  <c r="P105" i="11"/>
  <c r="H107" i="11" l="1"/>
  <c r="U106" i="11"/>
  <c r="O106" i="11"/>
  <c r="J106" i="11"/>
  <c r="I106" i="11"/>
  <c r="S106" i="11"/>
  <c r="T106" i="11"/>
  <c r="N106" i="11"/>
  <c r="M106" i="11"/>
  <c r="L106" i="11"/>
  <c r="R106" i="11"/>
  <c r="K106" i="11"/>
  <c r="P106" i="11"/>
  <c r="Q106" i="11"/>
  <c r="O107" i="11" l="1"/>
  <c r="M107" i="11"/>
  <c r="R107" i="11"/>
  <c r="N107" i="11"/>
  <c r="T107" i="11"/>
  <c r="H108" i="11"/>
  <c r="K107" i="11"/>
  <c r="L107" i="11"/>
  <c r="S107" i="11"/>
  <c r="J107" i="11"/>
  <c r="U107" i="11"/>
  <c r="I107" i="11"/>
  <c r="Q107" i="11"/>
  <c r="P107" i="11"/>
  <c r="R108" i="11" l="1"/>
  <c r="M108" i="11"/>
  <c r="T108" i="11"/>
  <c r="J108" i="11"/>
  <c r="S108" i="11"/>
  <c r="I108" i="11"/>
  <c r="K108" i="11"/>
  <c r="N108" i="11"/>
  <c r="H109" i="11"/>
  <c r="L108" i="11"/>
  <c r="U108" i="11"/>
  <c r="O108" i="11"/>
  <c r="Q108" i="11"/>
  <c r="P108" i="11"/>
  <c r="S109" i="11" l="1"/>
  <c r="H110" i="11"/>
  <c r="M109" i="11"/>
  <c r="T109" i="11"/>
  <c r="N109" i="11"/>
  <c r="L109" i="11"/>
  <c r="J109" i="11"/>
  <c r="I109" i="11"/>
  <c r="U109" i="11"/>
  <c r="O109" i="11"/>
  <c r="R109" i="11"/>
  <c r="K109" i="11"/>
  <c r="Q109" i="11"/>
  <c r="P109" i="11"/>
  <c r="T110" i="11" l="1"/>
  <c r="K110" i="11"/>
  <c r="S110" i="11"/>
  <c r="I110" i="11"/>
  <c r="H111" i="11"/>
  <c r="R110" i="11"/>
  <c r="N110" i="11"/>
  <c r="J110" i="11"/>
  <c r="M110" i="11"/>
  <c r="L110" i="11"/>
  <c r="O110" i="11"/>
  <c r="U110" i="11"/>
  <c r="P110" i="11"/>
  <c r="Q110" i="11"/>
  <c r="H112" i="11" l="1"/>
  <c r="K111" i="11"/>
  <c r="R111" i="11"/>
  <c r="U111" i="11"/>
  <c r="N111" i="11"/>
  <c r="M111" i="11"/>
  <c r="O111" i="11"/>
  <c r="J111" i="11"/>
  <c r="I111" i="11"/>
  <c r="S111" i="11"/>
  <c r="T111" i="11"/>
  <c r="L111" i="11"/>
  <c r="Q111" i="11"/>
  <c r="P111" i="11"/>
  <c r="L112" i="11" l="1"/>
  <c r="U112" i="11"/>
  <c r="T112" i="11"/>
  <c r="N112" i="11"/>
  <c r="O112" i="11"/>
  <c r="H113" i="11"/>
  <c r="S112" i="11"/>
  <c r="M112" i="11"/>
  <c r="I112" i="11"/>
  <c r="J112" i="11"/>
  <c r="R112" i="11"/>
  <c r="K112" i="11"/>
  <c r="Q112" i="11"/>
  <c r="P112" i="11"/>
  <c r="S113" i="11" l="1"/>
  <c r="K113" i="11"/>
  <c r="R113" i="11"/>
  <c r="H114" i="11"/>
  <c r="L113" i="11"/>
  <c r="N113" i="11"/>
  <c r="J113" i="11"/>
  <c r="I113" i="11"/>
  <c r="O113" i="11"/>
  <c r="M113" i="11"/>
  <c r="U113" i="11"/>
  <c r="T113" i="11"/>
  <c r="Q113" i="11"/>
  <c r="P113" i="11"/>
  <c r="K114" i="11" l="1"/>
  <c r="N114" i="11"/>
  <c r="L114" i="11"/>
  <c r="T114" i="11"/>
  <c r="U114" i="11"/>
  <c r="M114" i="11"/>
  <c r="O114" i="11"/>
  <c r="S114" i="11"/>
  <c r="H115" i="11"/>
  <c r="I114" i="11"/>
  <c r="R114" i="11"/>
  <c r="J114" i="11"/>
  <c r="Q114" i="11"/>
  <c r="P114" i="11"/>
  <c r="H116" i="11" l="1"/>
  <c r="K115" i="11"/>
  <c r="U115" i="11"/>
  <c r="I115" i="11"/>
  <c r="N115" i="11"/>
  <c r="O115" i="11"/>
  <c r="S115" i="11"/>
  <c r="T115" i="11"/>
  <c r="J115" i="11"/>
  <c r="M115" i="11"/>
  <c r="R115" i="11"/>
  <c r="L115" i="11"/>
  <c r="P115" i="11"/>
  <c r="Q115" i="11"/>
  <c r="I116" i="11" l="1"/>
  <c r="L116" i="11"/>
  <c r="N116" i="11"/>
  <c r="M116" i="11"/>
  <c r="S116" i="11"/>
  <c r="T116" i="11"/>
  <c r="O116" i="11"/>
  <c r="H117" i="11"/>
  <c r="R116" i="11"/>
  <c r="U116" i="11"/>
  <c r="J116" i="11"/>
  <c r="K116" i="11"/>
  <c r="Q116" i="11"/>
  <c r="P116" i="11"/>
  <c r="O117" i="11" l="1"/>
  <c r="R117" i="11"/>
  <c r="M117" i="11"/>
  <c r="S117" i="11"/>
  <c r="L117" i="11"/>
  <c r="I117" i="11"/>
  <c r="T117" i="11"/>
  <c r="N117" i="11"/>
  <c r="J117" i="11"/>
  <c r="K117" i="11"/>
  <c r="U117" i="11"/>
  <c r="H118" i="11"/>
  <c r="P117" i="11"/>
  <c r="Q117" i="11"/>
  <c r="J118" i="11" l="1"/>
  <c r="K118" i="11"/>
  <c r="I118" i="11"/>
  <c r="T118" i="11"/>
  <c r="U118" i="11"/>
  <c r="M118" i="11"/>
  <c r="S118" i="11"/>
  <c r="H119" i="11"/>
  <c r="O118" i="11"/>
  <c r="R118" i="11"/>
  <c r="N118" i="11"/>
  <c r="L118" i="11"/>
  <c r="P118" i="11"/>
  <c r="Q118" i="11"/>
  <c r="S119" i="11" l="1"/>
  <c r="M119" i="11"/>
  <c r="L119" i="11"/>
  <c r="O119" i="11"/>
  <c r="T119" i="11"/>
  <c r="I119" i="11"/>
  <c r="H120" i="11"/>
  <c r="K119" i="11"/>
  <c r="R119" i="11"/>
  <c r="U119" i="11"/>
  <c r="J119" i="11"/>
  <c r="N119" i="11"/>
  <c r="P119" i="11"/>
  <c r="Q119" i="11"/>
  <c r="R120" i="11" l="1"/>
  <c r="L120" i="11"/>
  <c r="M120" i="11"/>
  <c r="K120" i="11"/>
  <c r="O120" i="11"/>
  <c r="T120" i="11"/>
  <c r="U120" i="11"/>
  <c r="N120" i="11"/>
  <c r="H121" i="11"/>
  <c r="I120" i="11"/>
  <c r="S120" i="11"/>
  <c r="J120" i="11"/>
  <c r="Q120" i="11"/>
  <c r="P120" i="11"/>
  <c r="S121" i="11" l="1"/>
  <c r="K121" i="11"/>
  <c r="T121" i="11"/>
  <c r="M121" i="11"/>
  <c r="I121" i="11"/>
  <c r="R121" i="11"/>
  <c r="N121" i="11"/>
  <c r="L121" i="11"/>
  <c r="U121" i="11"/>
  <c r="O121" i="11"/>
  <c r="J121" i="11"/>
  <c r="H122" i="11"/>
  <c r="P121" i="11"/>
  <c r="Q121" i="11"/>
  <c r="R122" i="11" l="1"/>
  <c r="J122" i="11"/>
  <c r="U122" i="11"/>
  <c r="M122" i="11"/>
  <c r="K122" i="11"/>
  <c r="T122" i="11"/>
  <c r="O122" i="11"/>
  <c r="N122" i="11"/>
  <c r="I122" i="11"/>
  <c r="L122" i="11"/>
  <c r="S122" i="11"/>
  <c r="H123" i="11"/>
  <c r="P122" i="11"/>
  <c r="Q122" i="11"/>
  <c r="M123" i="11" l="1"/>
  <c r="U123" i="11"/>
  <c r="K123" i="11"/>
  <c r="I123" i="11"/>
  <c r="N123" i="11"/>
  <c r="J123" i="11"/>
  <c r="L123" i="11"/>
  <c r="R123" i="11"/>
  <c r="O123" i="11"/>
  <c r="T123" i="11"/>
  <c r="S123" i="11"/>
  <c r="H124" i="11"/>
  <c r="P123" i="11"/>
  <c r="Q123" i="11"/>
  <c r="K124" i="11" l="1"/>
  <c r="R124" i="11"/>
  <c r="N124" i="11"/>
  <c r="J124" i="11"/>
  <c r="H125" i="11"/>
  <c r="S124" i="11"/>
  <c r="L124" i="11"/>
  <c r="O124" i="11"/>
  <c r="U124" i="11"/>
  <c r="I124" i="11"/>
  <c r="T124" i="11"/>
  <c r="M124" i="11"/>
  <c r="P124" i="11"/>
  <c r="Q124" i="11"/>
  <c r="K125" i="11" l="1"/>
  <c r="H126" i="11"/>
  <c r="L125" i="11"/>
  <c r="M125" i="11"/>
  <c r="J125" i="11"/>
  <c r="R125" i="11"/>
  <c r="O125" i="11"/>
  <c r="N125" i="11"/>
  <c r="S125" i="11"/>
  <c r="T125" i="11"/>
  <c r="I125" i="11"/>
  <c r="U125" i="11"/>
  <c r="P125" i="11"/>
  <c r="Q125" i="11"/>
  <c r="O126" i="11" l="1"/>
  <c r="L126" i="11"/>
  <c r="M126" i="11"/>
  <c r="T126" i="11"/>
  <c r="I126" i="11"/>
  <c r="U126" i="11"/>
  <c r="H127" i="11"/>
  <c r="K126" i="11"/>
  <c r="J126" i="11"/>
  <c r="S126" i="11"/>
  <c r="R126" i="11"/>
  <c r="N126" i="11"/>
  <c r="P126" i="11"/>
  <c r="Q126" i="11"/>
  <c r="I127" i="11" l="1"/>
  <c r="J127" i="11"/>
  <c r="T127" i="11"/>
  <c r="S127" i="11"/>
  <c r="L127" i="11"/>
  <c r="R127" i="11"/>
  <c r="U127" i="11"/>
  <c r="N127" i="11"/>
  <c r="H128" i="11"/>
  <c r="M127" i="11"/>
  <c r="K127" i="11"/>
  <c r="O127" i="11"/>
  <c r="Q127" i="11"/>
  <c r="P127" i="11"/>
  <c r="O128" i="11" l="1"/>
  <c r="N128" i="11"/>
  <c r="T128" i="11"/>
  <c r="M128" i="11"/>
  <c r="H129" i="11"/>
  <c r="S128" i="11"/>
  <c r="I128" i="11"/>
  <c r="J128" i="11"/>
  <c r="K128" i="11"/>
  <c r="R128" i="11"/>
  <c r="L128" i="11"/>
  <c r="U128" i="11"/>
  <c r="Q128" i="11"/>
  <c r="P128" i="11"/>
  <c r="T129" i="11" l="1"/>
  <c r="N129" i="11"/>
  <c r="L129" i="11"/>
  <c r="U129" i="11"/>
  <c r="S129" i="11"/>
  <c r="R129" i="11"/>
  <c r="I129" i="11"/>
  <c r="H130" i="11"/>
  <c r="M129" i="11"/>
  <c r="K129" i="11"/>
  <c r="J129" i="11"/>
  <c r="O129" i="11"/>
  <c r="Q129" i="11"/>
  <c r="P129" i="11"/>
  <c r="K130" i="11" l="1"/>
  <c r="M130" i="11"/>
  <c r="S130" i="11"/>
  <c r="I130" i="11"/>
  <c r="H131" i="11"/>
  <c r="R130" i="11"/>
  <c r="U130" i="11"/>
  <c r="J130" i="11"/>
  <c r="T130" i="11"/>
  <c r="O130" i="11"/>
  <c r="L130" i="11"/>
  <c r="N130" i="11"/>
  <c r="Q130" i="11"/>
  <c r="P130" i="11"/>
  <c r="O131" i="11" l="1"/>
  <c r="J131" i="11"/>
  <c r="S131" i="11"/>
  <c r="M131" i="11"/>
  <c r="R131" i="11"/>
  <c r="L131" i="11"/>
  <c r="H132" i="11"/>
  <c r="I131" i="11"/>
  <c r="T131" i="11"/>
  <c r="N131" i="11"/>
  <c r="K131" i="11"/>
  <c r="U131" i="11"/>
  <c r="P131" i="11"/>
  <c r="Q131" i="11"/>
  <c r="N132" i="11" l="1"/>
  <c r="T132" i="11"/>
  <c r="I132" i="11"/>
  <c r="H133" i="11"/>
  <c r="K132" i="11"/>
  <c r="O132" i="11"/>
  <c r="U132" i="11"/>
  <c r="J132" i="11"/>
  <c r="S132" i="11"/>
  <c r="L132" i="11"/>
  <c r="M132" i="11"/>
  <c r="R132" i="11"/>
  <c r="P132" i="11"/>
  <c r="Q132" i="11"/>
  <c r="N133" i="11" l="1"/>
  <c r="K133" i="11"/>
  <c r="H134" i="11"/>
  <c r="O133" i="11"/>
  <c r="U133" i="11"/>
  <c r="R133" i="11"/>
  <c r="M133" i="11"/>
  <c r="L133" i="11"/>
  <c r="T133" i="11"/>
  <c r="S133" i="11"/>
  <c r="I133" i="11"/>
  <c r="J133" i="11"/>
  <c r="Q133" i="11"/>
  <c r="P133" i="11"/>
  <c r="T134" i="11" l="1"/>
  <c r="N134" i="11"/>
  <c r="R134" i="11"/>
  <c r="K134" i="11"/>
  <c r="L134" i="11"/>
  <c r="J134" i="11"/>
  <c r="S134" i="11"/>
  <c r="H135" i="11"/>
  <c r="U134" i="11"/>
  <c r="M134" i="11"/>
  <c r="I134" i="11"/>
  <c r="O134" i="11"/>
  <c r="Q134" i="11"/>
  <c r="P134" i="11"/>
  <c r="M135" i="11" l="1"/>
  <c r="J135" i="11"/>
  <c r="K135" i="11"/>
  <c r="N135" i="11"/>
  <c r="R135" i="11"/>
  <c r="S135" i="11"/>
  <c r="U135" i="11"/>
  <c r="L135" i="11"/>
  <c r="T135" i="11"/>
  <c r="I135" i="11"/>
  <c r="O135" i="11"/>
  <c r="H136" i="11"/>
  <c r="P135" i="11"/>
  <c r="Q135" i="11"/>
  <c r="M136" i="11" l="1"/>
  <c r="K136" i="11"/>
  <c r="I136" i="11"/>
  <c r="N136" i="11"/>
  <c r="H137" i="11"/>
  <c r="O136" i="11"/>
  <c r="J136" i="11"/>
  <c r="T136" i="11"/>
  <c r="L136" i="11"/>
  <c r="S136" i="11"/>
  <c r="U136" i="11"/>
  <c r="R136" i="11"/>
  <c r="P136" i="11"/>
  <c r="Q136" i="11"/>
  <c r="S137" i="11" l="1"/>
  <c r="T137" i="11"/>
  <c r="R137" i="11"/>
  <c r="M137" i="11"/>
  <c r="L137" i="11"/>
  <c r="J137" i="11"/>
  <c r="N137" i="11"/>
  <c r="K137" i="11"/>
  <c r="O137" i="11"/>
  <c r="I137" i="11"/>
  <c r="U137" i="11"/>
  <c r="H138" i="11"/>
  <c r="Q137" i="11"/>
  <c r="P137" i="11"/>
  <c r="S138" i="11" l="1"/>
  <c r="L138" i="11"/>
  <c r="J138" i="11"/>
  <c r="O138" i="11"/>
  <c r="N138" i="11"/>
  <c r="R138" i="11"/>
  <c r="M138" i="11"/>
  <c r="U138" i="11"/>
  <c r="H139" i="11"/>
  <c r="K138" i="11"/>
  <c r="I138" i="11"/>
  <c r="T138" i="11"/>
  <c r="Q138" i="11"/>
  <c r="P138" i="11"/>
  <c r="L139" i="11" l="1"/>
  <c r="M139" i="11"/>
  <c r="J139" i="11"/>
  <c r="I139" i="11"/>
  <c r="H140" i="11"/>
  <c r="R139" i="11"/>
  <c r="K139" i="11"/>
  <c r="S139" i="11"/>
  <c r="U139" i="11"/>
  <c r="T139" i="11"/>
  <c r="O139" i="11"/>
  <c r="N139" i="11"/>
  <c r="Q139" i="11"/>
  <c r="P139" i="11"/>
  <c r="M140" i="11" l="1"/>
  <c r="I140" i="11"/>
  <c r="S140" i="11"/>
  <c r="K140" i="11"/>
  <c r="L140" i="11"/>
  <c r="U140" i="11"/>
  <c r="O140" i="11"/>
  <c r="J140" i="11"/>
  <c r="N140" i="11"/>
  <c r="T140" i="11"/>
  <c r="H141" i="11"/>
  <c r="R140" i="11"/>
  <c r="Q140" i="11"/>
  <c r="P140" i="11"/>
  <c r="T141" i="11" l="1"/>
  <c r="J141" i="11"/>
  <c r="O141" i="11"/>
  <c r="L141" i="11"/>
  <c r="K141" i="11"/>
  <c r="S141" i="11"/>
  <c r="U141" i="11"/>
  <c r="M141" i="11"/>
  <c r="R141" i="11"/>
  <c r="N141" i="11"/>
  <c r="H142" i="11"/>
  <c r="I141" i="11"/>
  <c r="Q141" i="11"/>
  <c r="P141" i="11"/>
  <c r="K142" i="11" l="1"/>
  <c r="L142" i="11"/>
  <c r="M142" i="11"/>
  <c r="J142" i="11"/>
  <c r="N142" i="11"/>
  <c r="I142" i="11"/>
  <c r="H143" i="11"/>
  <c r="O142" i="11"/>
  <c r="R142" i="11"/>
  <c r="S142" i="11"/>
  <c r="U142" i="11"/>
  <c r="T142" i="11"/>
  <c r="Q142" i="11"/>
  <c r="P142" i="11"/>
  <c r="S143" i="11" l="1"/>
  <c r="J143" i="11"/>
  <c r="U143" i="11"/>
  <c r="L143" i="11"/>
  <c r="O143" i="11"/>
  <c r="N143" i="11"/>
  <c r="I143" i="11"/>
  <c r="K143" i="11"/>
  <c r="R143" i="11"/>
  <c r="T143" i="11"/>
  <c r="H144" i="11"/>
  <c r="M143" i="11"/>
  <c r="P143" i="11"/>
  <c r="Q143" i="11"/>
  <c r="L144" i="11" l="1"/>
  <c r="U144" i="11"/>
  <c r="O144" i="11"/>
  <c r="N144" i="11"/>
  <c r="R144" i="11"/>
  <c r="K144" i="11"/>
  <c r="M144" i="11"/>
  <c r="H145" i="11"/>
  <c r="T144" i="11"/>
  <c r="S144" i="11"/>
  <c r="J144" i="11"/>
  <c r="I144" i="11"/>
  <c r="P144" i="11"/>
  <c r="Q144" i="11"/>
  <c r="O145" i="11" l="1"/>
  <c r="R145" i="11"/>
  <c r="H146" i="11"/>
  <c r="T145" i="11"/>
  <c r="M145" i="11"/>
  <c r="J145" i="11"/>
  <c r="K145" i="11"/>
  <c r="N145" i="11"/>
  <c r="U145" i="11"/>
  <c r="I145" i="11"/>
  <c r="S145" i="11"/>
  <c r="L145" i="11"/>
  <c r="P145" i="11"/>
  <c r="Q145" i="11"/>
  <c r="M146" i="11" l="1"/>
  <c r="H147" i="11"/>
  <c r="J146" i="11"/>
  <c r="R146" i="11"/>
  <c r="O146" i="11"/>
  <c r="S146" i="11"/>
  <c r="T146" i="11"/>
  <c r="L146" i="11"/>
  <c r="K146" i="11"/>
  <c r="U146" i="11"/>
  <c r="I146" i="11"/>
  <c r="N146" i="11"/>
  <c r="Q146" i="11"/>
  <c r="P146" i="11"/>
  <c r="J147" i="11" l="1"/>
  <c r="U147" i="11"/>
  <c r="L147" i="11"/>
  <c r="H148" i="11"/>
  <c r="O147" i="11"/>
  <c r="R147" i="11"/>
  <c r="I147" i="11"/>
  <c r="N147" i="11"/>
  <c r="S147" i="11"/>
  <c r="T147" i="11"/>
  <c r="M147" i="11"/>
  <c r="K147" i="11"/>
  <c r="Q147" i="11"/>
  <c r="P147" i="11"/>
  <c r="N148" i="11" l="1"/>
  <c r="O148" i="11"/>
  <c r="L148" i="11"/>
  <c r="R148" i="11"/>
  <c r="S148" i="11"/>
  <c r="J148" i="11"/>
  <c r="H149" i="11"/>
  <c r="M148" i="11"/>
  <c r="T148" i="11"/>
  <c r="U148" i="11"/>
  <c r="I148" i="11"/>
  <c r="K148" i="11"/>
  <c r="P148" i="11"/>
  <c r="Q148" i="11"/>
  <c r="N149" i="11" l="1"/>
  <c r="M149" i="11"/>
  <c r="J149" i="11"/>
  <c r="H150" i="11"/>
  <c r="I149" i="11"/>
  <c r="S149" i="11"/>
  <c r="K149" i="11"/>
  <c r="T149" i="11"/>
  <c r="O149" i="11"/>
  <c r="U149" i="11"/>
  <c r="R149" i="11"/>
  <c r="L149" i="11"/>
  <c r="P149" i="11"/>
  <c r="Q149" i="11"/>
  <c r="K150" i="11" l="1"/>
  <c r="S150" i="11"/>
  <c r="R150" i="11"/>
  <c r="H151" i="11"/>
  <c r="T150" i="11"/>
  <c r="O150" i="11"/>
  <c r="M150" i="11"/>
  <c r="U150" i="11"/>
  <c r="N150" i="11"/>
  <c r="L150" i="11"/>
  <c r="J150" i="11"/>
  <c r="I150" i="11"/>
  <c r="P150" i="11"/>
  <c r="Q150" i="11"/>
  <c r="J151" i="11" l="1"/>
  <c r="T151" i="11"/>
  <c r="K151" i="11"/>
  <c r="R151" i="11"/>
  <c r="O151" i="11"/>
  <c r="I151" i="11"/>
  <c r="L151" i="11"/>
  <c r="H152" i="11"/>
  <c r="S151" i="11"/>
  <c r="M151" i="11"/>
  <c r="U151" i="11"/>
  <c r="N151" i="11"/>
  <c r="Q151" i="11"/>
  <c r="P151" i="11"/>
  <c r="I152" i="11" l="1"/>
  <c r="N152" i="11"/>
  <c r="J152" i="11"/>
  <c r="S152" i="11"/>
  <c r="R152" i="11"/>
  <c r="T152" i="11"/>
  <c r="O152" i="11"/>
  <c r="H153" i="11"/>
  <c r="U152" i="11"/>
  <c r="M152" i="11"/>
  <c r="L152" i="11"/>
  <c r="K152" i="11"/>
  <c r="Q152" i="11"/>
  <c r="P152" i="11"/>
  <c r="N153" i="11" l="1"/>
  <c r="T153" i="11"/>
  <c r="J153" i="11"/>
  <c r="R153" i="11"/>
  <c r="U153" i="11"/>
  <c r="S153" i="11"/>
  <c r="L153" i="11"/>
  <c r="H154" i="11"/>
  <c r="O153" i="11"/>
  <c r="I153" i="11"/>
  <c r="K153" i="11"/>
  <c r="M153" i="11"/>
  <c r="P153" i="11"/>
  <c r="Q153" i="11"/>
  <c r="I154" i="11" l="1"/>
  <c r="H155" i="11"/>
  <c r="K154" i="11"/>
  <c r="U154" i="11"/>
  <c r="O154" i="11"/>
  <c r="L154" i="11"/>
  <c r="J154" i="11"/>
  <c r="N154" i="11"/>
  <c r="S154" i="11"/>
  <c r="R154" i="11"/>
  <c r="T154" i="11"/>
  <c r="M154" i="11"/>
  <c r="Q154" i="11"/>
  <c r="P154" i="11"/>
  <c r="H156" i="11" l="1"/>
  <c r="S155" i="11"/>
  <c r="I155" i="11"/>
  <c r="N155" i="11"/>
  <c r="U155" i="11"/>
  <c r="O155" i="11"/>
  <c r="L155" i="11"/>
  <c r="R155" i="11"/>
  <c r="K155" i="11"/>
  <c r="T155" i="11"/>
  <c r="M155" i="11"/>
  <c r="J155" i="11"/>
  <c r="Q155" i="11"/>
  <c r="P155" i="11"/>
  <c r="N156" i="11" l="1"/>
  <c r="S156" i="11"/>
  <c r="O156" i="11"/>
  <c r="K156" i="11"/>
  <c r="R156" i="11"/>
  <c r="M156" i="11"/>
  <c r="T156" i="11"/>
  <c r="U156" i="11"/>
  <c r="I156" i="11"/>
  <c r="L156" i="11"/>
  <c r="H157" i="11"/>
  <c r="J156" i="11"/>
  <c r="P156" i="11"/>
  <c r="Q156" i="11"/>
  <c r="M157" i="11" l="1"/>
  <c r="K157" i="11"/>
  <c r="H158" i="11"/>
  <c r="T157" i="11"/>
  <c r="I157" i="11"/>
  <c r="R157" i="11"/>
  <c r="U157" i="11"/>
  <c r="J157" i="11"/>
  <c r="L157" i="11"/>
  <c r="S157" i="11"/>
  <c r="N157" i="11"/>
  <c r="O157" i="11"/>
  <c r="P157" i="11"/>
  <c r="Q157" i="11"/>
  <c r="L158" i="11" l="1"/>
  <c r="O158" i="11"/>
  <c r="I158" i="11"/>
  <c r="H159" i="11"/>
  <c r="S158" i="11"/>
  <c r="K158" i="11"/>
  <c r="N158" i="11"/>
  <c r="J158" i="11"/>
  <c r="T158" i="11"/>
  <c r="M158" i="11"/>
  <c r="R158" i="11"/>
  <c r="U158" i="11"/>
  <c r="P158" i="11"/>
  <c r="Q158" i="11"/>
  <c r="H160" i="11" l="1"/>
  <c r="L159" i="11"/>
  <c r="K159" i="11"/>
  <c r="J159" i="11"/>
  <c r="T159" i="11"/>
  <c r="O159" i="11"/>
  <c r="M159" i="11"/>
  <c r="I159" i="11"/>
  <c r="N159" i="11"/>
  <c r="R159" i="11"/>
  <c r="U159" i="11"/>
  <c r="S159" i="11"/>
  <c r="Q159" i="11"/>
  <c r="P159" i="11"/>
  <c r="O160" i="11" l="1"/>
  <c r="S160" i="11"/>
  <c r="T160" i="11"/>
  <c r="J160" i="11"/>
  <c r="H161" i="11"/>
  <c r="I160" i="11"/>
  <c r="N160" i="11"/>
  <c r="K160" i="11"/>
  <c r="L160" i="11"/>
  <c r="M160" i="11"/>
  <c r="U160" i="11"/>
  <c r="R160" i="11"/>
  <c r="P160" i="11"/>
  <c r="Q160" i="11"/>
  <c r="O161" i="11" l="1"/>
  <c r="M161" i="11"/>
  <c r="N161" i="11"/>
  <c r="J161" i="11"/>
  <c r="K161" i="11"/>
  <c r="R161" i="11"/>
  <c r="U161" i="11"/>
  <c r="S161" i="11"/>
  <c r="T161" i="11"/>
  <c r="L161" i="11"/>
  <c r="I161" i="11"/>
  <c r="H162" i="11"/>
  <c r="P161" i="11"/>
  <c r="Q161" i="11"/>
  <c r="I162" i="11" l="1"/>
  <c r="M162" i="11"/>
  <c r="S162" i="11"/>
  <c r="L162" i="11"/>
  <c r="O162" i="11"/>
  <c r="J162" i="11"/>
  <c r="N162" i="11"/>
  <c r="H163" i="11"/>
  <c r="R162" i="11"/>
  <c r="T162" i="11"/>
  <c r="U162" i="11"/>
  <c r="K162" i="11"/>
  <c r="Q162" i="11"/>
  <c r="P162" i="11"/>
  <c r="N163" i="11" l="1"/>
  <c r="M163" i="11"/>
  <c r="K163" i="11"/>
  <c r="T163" i="11"/>
  <c r="O163" i="11"/>
  <c r="R163" i="11"/>
  <c r="I163" i="11"/>
  <c r="U163" i="11"/>
  <c r="H164" i="11"/>
  <c r="J163" i="11"/>
  <c r="L163" i="11"/>
  <c r="S163" i="11"/>
  <c r="P163" i="11"/>
  <c r="Q163" i="11"/>
  <c r="T164" i="11" l="1"/>
  <c r="K164" i="11"/>
  <c r="O164" i="11"/>
  <c r="I164" i="11"/>
  <c r="H165" i="11"/>
  <c r="S164" i="11"/>
  <c r="R164" i="11"/>
  <c r="M164" i="11"/>
  <c r="J164" i="11"/>
  <c r="N164" i="11"/>
  <c r="U164" i="11"/>
  <c r="L164" i="11"/>
  <c r="Q164" i="11"/>
  <c r="P164" i="11"/>
  <c r="J165" i="11" l="1"/>
  <c r="R165" i="11"/>
  <c r="O165" i="11"/>
  <c r="T165" i="11"/>
  <c r="N165" i="11"/>
  <c r="U165" i="11"/>
  <c r="S165" i="11"/>
  <c r="M165" i="11"/>
  <c r="K165" i="11"/>
  <c r="H166" i="11"/>
  <c r="I165" i="11"/>
  <c r="L165" i="11"/>
  <c r="P165" i="11"/>
  <c r="Q165" i="11"/>
  <c r="L166" i="11" l="1"/>
  <c r="U166" i="11"/>
  <c r="O166" i="11"/>
  <c r="T166" i="11"/>
  <c r="J166" i="11"/>
  <c r="M166" i="11"/>
  <c r="S166" i="11"/>
  <c r="I166" i="11"/>
  <c r="R166" i="11"/>
  <c r="N166" i="11"/>
  <c r="K166" i="11"/>
  <c r="H167" i="11"/>
  <c r="P166" i="11"/>
  <c r="Q166" i="11"/>
  <c r="O167" i="11" l="1"/>
  <c r="U167" i="11"/>
  <c r="J167" i="11"/>
  <c r="L167" i="11"/>
  <c r="M167" i="11"/>
  <c r="K167" i="11"/>
  <c r="T167" i="11"/>
  <c r="H168" i="11"/>
  <c r="I167" i="11"/>
  <c r="S167" i="11"/>
  <c r="R167" i="11"/>
  <c r="N167" i="11"/>
  <c r="Q167" i="11"/>
  <c r="P167" i="11"/>
  <c r="T168" i="11" l="1"/>
  <c r="R168" i="11"/>
  <c r="S168" i="11"/>
  <c r="J168" i="11"/>
  <c r="L168" i="11"/>
  <c r="O168" i="11"/>
  <c r="H169" i="11"/>
  <c r="K168" i="11"/>
  <c r="U168" i="11"/>
  <c r="N168" i="11"/>
  <c r="I168" i="11"/>
  <c r="M168" i="11"/>
  <c r="P168" i="11"/>
  <c r="Q168" i="11"/>
  <c r="J169" i="11" l="1"/>
  <c r="K169" i="11"/>
  <c r="T169" i="11"/>
  <c r="O169" i="11"/>
  <c r="U169" i="11"/>
  <c r="N169" i="11"/>
  <c r="M169" i="11"/>
  <c r="H170" i="11"/>
  <c r="L169" i="11"/>
  <c r="S169" i="11"/>
  <c r="I169" i="11"/>
  <c r="R169" i="11"/>
  <c r="Q169" i="11"/>
  <c r="P169" i="11"/>
  <c r="O170" i="11" l="1"/>
  <c r="J170" i="11"/>
  <c r="R170" i="11"/>
  <c r="K170" i="11"/>
  <c r="N170" i="11"/>
  <c r="H171" i="11"/>
  <c r="T170" i="11"/>
  <c r="L170" i="11"/>
  <c r="I170" i="11"/>
  <c r="U170" i="11"/>
  <c r="S170" i="11"/>
  <c r="M170" i="11"/>
  <c r="P170" i="11"/>
  <c r="Q170" i="11"/>
  <c r="J171" i="11" l="1"/>
  <c r="M171" i="11"/>
  <c r="H172" i="11"/>
  <c r="O171" i="11"/>
  <c r="I171" i="11"/>
  <c r="S171" i="11"/>
  <c r="U171" i="11"/>
  <c r="K171" i="11"/>
  <c r="L171" i="11"/>
  <c r="N171" i="11"/>
  <c r="R171" i="11"/>
  <c r="T171" i="11"/>
  <c r="P171" i="11"/>
  <c r="Q171" i="11"/>
  <c r="M172" i="11" l="1"/>
  <c r="I172" i="11"/>
  <c r="T172" i="11"/>
  <c r="J172" i="11"/>
  <c r="O172" i="11"/>
  <c r="R172" i="11"/>
  <c r="U172" i="11"/>
  <c r="H173" i="11"/>
  <c r="S172" i="11"/>
  <c r="L172" i="11"/>
  <c r="K172" i="11"/>
  <c r="N172" i="11"/>
  <c r="Q172" i="11"/>
  <c r="P172" i="11"/>
  <c r="H174" i="11" l="1"/>
  <c r="N173" i="11"/>
  <c r="M173" i="11"/>
  <c r="I173" i="11"/>
  <c r="R173" i="11"/>
  <c r="J173" i="11"/>
  <c r="K173" i="11"/>
  <c r="T173" i="11"/>
  <c r="O173" i="11"/>
  <c r="L173" i="11"/>
  <c r="S173" i="11"/>
  <c r="U173" i="11"/>
  <c r="Q173" i="11"/>
  <c r="P173" i="11"/>
  <c r="R174" i="11" l="1"/>
  <c r="S174" i="11"/>
  <c r="U174" i="11"/>
  <c r="L174" i="11"/>
  <c r="T174" i="11"/>
  <c r="M174" i="11"/>
  <c r="N174" i="11"/>
  <c r="O174" i="11"/>
  <c r="J174" i="11"/>
  <c r="H175" i="11"/>
  <c r="I174" i="11"/>
  <c r="K174" i="11"/>
  <c r="Q174" i="11"/>
  <c r="P174" i="11"/>
  <c r="N175" i="11" l="1"/>
  <c r="R175" i="11"/>
  <c r="O175" i="11"/>
  <c r="J175" i="11"/>
  <c r="M175" i="11"/>
  <c r="I175" i="11"/>
  <c r="U175" i="11"/>
  <c r="K175" i="11"/>
  <c r="L175" i="11"/>
  <c r="H176" i="11"/>
  <c r="S175" i="11"/>
  <c r="T175" i="11"/>
  <c r="P175" i="11"/>
  <c r="Q175" i="11"/>
  <c r="N176" i="11" l="1"/>
  <c r="H177" i="11"/>
  <c r="L176" i="11"/>
  <c r="J176" i="11"/>
  <c r="I176" i="11"/>
  <c r="U176" i="11"/>
  <c r="S176" i="11"/>
  <c r="O176" i="11"/>
  <c r="K176" i="11"/>
  <c r="T176" i="11"/>
  <c r="M176" i="11"/>
  <c r="R176" i="11"/>
  <c r="Q176" i="11"/>
  <c r="P176" i="11"/>
  <c r="T177" i="11" l="1"/>
  <c r="S177" i="11"/>
  <c r="M177" i="11"/>
  <c r="N177" i="11"/>
  <c r="K177" i="11"/>
  <c r="O177" i="11"/>
  <c r="U177" i="11"/>
  <c r="R177" i="11"/>
  <c r="H178" i="11"/>
  <c r="I177" i="11"/>
  <c r="L177" i="11"/>
  <c r="J177" i="11"/>
  <c r="Q177" i="11"/>
  <c r="P177" i="11"/>
  <c r="U178" i="11" l="1"/>
  <c r="O178" i="11"/>
  <c r="M178" i="11"/>
  <c r="J178" i="11"/>
  <c r="L178" i="11"/>
  <c r="T178" i="11"/>
  <c r="H179" i="11"/>
  <c r="S178" i="11"/>
  <c r="I178" i="11"/>
  <c r="R178" i="11"/>
  <c r="K178" i="11"/>
  <c r="N178" i="11"/>
  <c r="P178" i="11"/>
  <c r="Q178" i="11"/>
  <c r="I179" i="11" l="1"/>
  <c r="M179" i="11"/>
  <c r="J179" i="11"/>
  <c r="O179" i="11"/>
  <c r="U179" i="11"/>
  <c r="N179" i="11"/>
  <c r="K179" i="11"/>
  <c r="S179" i="11"/>
  <c r="R179" i="11"/>
  <c r="H180" i="11"/>
  <c r="T179" i="11"/>
  <c r="L179" i="11"/>
  <c r="Q179" i="11"/>
  <c r="P179" i="11"/>
  <c r="M180" i="11" l="1"/>
  <c r="N180" i="11"/>
  <c r="O180" i="11"/>
  <c r="K180" i="11"/>
  <c r="H181" i="11"/>
  <c r="U180" i="11"/>
  <c r="R180" i="11"/>
  <c r="S180" i="11"/>
  <c r="J180" i="11"/>
  <c r="L180" i="11"/>
  <c r="I180" i="11"/>
  <c r="T180" i="11"/>
  <c r="Q180" i="11"/>
  <c r="P180" i="11"/>
  <c r="S181" i="11" l="1"/>
  <c r="R181" i="11"/>
  <c r="T181" i="11"/>
  <c r="N181" i="11"/>
  <c r="K181" i="11"/>
  <c r="U181" i="11"/>
  <c r="M181" i="11"/>
  <c r="O181" i="11"/>
  <c r="L181" i="11"/>
  <c r="J181" i="11"/>
  <c r="I181" i="11"/>
  <c r="H182" i="11"/>
  <c r="Q181" i="11"/>
  <c r="P181" i="11"/>
  <c r="T182" i="11" l="1"/>
  <c r="L182" i="11"/>
  <c r="O182" i="11"/>
  <c r="K182" i="11"/>
  <c r="H183" i="11"/>
  <c r="J182" i="11"/>
  <c r="M182" i="11"/>
  <c r="N182" i="11"/>
  <c r="U182" i="11"/>
  <c r="S182" i="11"/>
  <c r="I182" i="11"/>
  <c r="R182" i="11"/>
  <c r="Q182" i="11"/>
  <c r="P182" i="11"/>
  <c r="U183" i="11" l="1"/>
  <c r="M183" i="11"/>
  <c r="L183" i="11"/>
  <c r="O183" i="11"/>
  <c r="K183" i="11"/>
  <c r="S183" i="11"/>
  <c r="J183" i="11"/>
  <c r="R183" i="11"/>
  <c r="H184" i="11"/>
  <c r="I183" i="11"/>
  <c r="T183" i="11"/>
  <c r="N183" i="11"/>
  <c r="P183" i="11"/>
  <c r="Q183" i="11"/>
  <c r="O184" i="11" l="1"/>
  <c r="K184" i="11"/>
  <c r="R184" i="11"/>
  <c r="S184" i="11"/>
  <c r="J184" i="11"/>
  <c r="I184" i="11"/>
  <c r="T184" i="11"/>
  <c r="M184" i="11"/>
  <c r="L184" i="11"/>
  <c r="H185" i="11"/>
  <c r="U184" i="11"/>
  <c r="N184" i="11"/>
  <c r="Q184" i="11"/>
  <c r="P184" i="11"/>
  <c r="U185" i="11" l="1"/>
  <c r="M185" i="11"/>
  <c r="H186" i="11"/>
  <c r="K185" i="11"/>
  <c r="N185" i="11"/>
  <c r="R185" i="11"/>
  <c r="L185" i="11"/>
  <c r="J185" i="11"/>
  <c r="T185" i="11"/>
  <c r="O185" i="11"/>
  <c r="S185" i="11"/>
  <c r="I185" i="11"/>
  <c r="Q185" i="11"/>
  <c r="P185" i="11"/>
  <c r="O186" i="11" l="1"/>
  <c r="R186" i="11"/>
  <c r="H187" i="11"/>
  <c r="J186" i="11"/>
  <c r="T186" i="11"/>
  <c r="S186" i="11"/>
  <c r="L186" i="11"/>
  <c r="N186" i="11"/>
  <c r="I186" i="11"/>
  <c r="K186" i="11"/>
  <c r="M186" i="11"/>
  <c r="U186" i="11"/>
  <c r="Q186" i="11"/>
  <c r="P186" i="11"/>
  <c r="K187" i="11" l="1"/>
  <c r="T187" i="11"/>
  <c r="J187" i="11"/>
  <c r="M187" i="11"/>
  <c r="O187" i="11"/>
  <c r="S187" i="11"/>
  <c r="R187" i="11"/>
  <c r="I187" i="11"/>
  <c r="L187" i="11"/>
  <c r="H188" i="11"/>
  <c r="N187" i="11"/>
  <c r="U187" i="11"/>
  <c r="P187" i="11"/>
  <c r="Q187" i="11"/>
  <c r="R188" i="11" l="1"/>
  <c r="N188" i="11"/>
  <c r="H189" i="11"/>
  <c r="L188" i="11"/>
  <c r="I188" i="11"/>
  <c r="U188" i="11"/>
  <c r="M188" i="11"/>
  <c r="T188" i="11"/>
  <c r="S188" i="11"/>
  <c r="O188" i="11"/>
  <c r="J188" i="11"/>
  <c r="K188" i="11"/>
  <c r="P188" i="11"/>
  <c r="Q188" i="11"/>
  <c r="L189" i="11" l="1"/>
  <c r="U189" i="11"/>
  <c r="H190" i="11"/>
  <c r="S189" i="11"/>
  <c r="J189" i="11"/>
  <c r="N189" i="11"/>
  <c r="R189" i="11"/>
  <c r="M189" i="11"/>
  <c r="T189" i="11"/>
  <c r="I189" i="11"/>
  <c r="K189" i="11"/>
  <c r="O189" i="11"/>
  <c r="Q189" i="11"/>
  <c r="P189" i="11"/>
  <c r="J190" i="11" l="1"/>
  <c r="I190" i="11"/>
  <c r="T190" i="11"/>
  <c r="O190" i="11"/>
  <c r="L190" i="11"/>
  <c r="R190" i="11"/>
  <c r="K190" i="11"/>
  <c r="N190" i="11"/>
  <c r="H191" i="11"/>
  <c r="U190" i="11"/>
  <c r="M190" i="11"/>
  <c r="S190" i="11"/>
  <c r="Q190" i="11"/>
  <c r="P190" i="11"/>
  <c r="O191" i="11" l="1"/>
  <c r="M191" i="11"/>
  <c r="I191" i="11"/>
  <c r="K191" i="11"/>
  <c r="U191" i="11"/>
  <c r="L191" i="11"/>
  <c r="N191" i="11"/>
  <c r="H192" i="11"/>
  <c r="T191" i="11"/>
  <c r="J191" i="11"/>
  <c r="R191" i="11"/>
  <c r="S191" i="11"/>
  <c r="P191" i="11"/>
  <c r="Q191" i="11"/>
  <c r="N192" i="11" l="1"/>
  <c r="S192" i="11"/>
  <c r="H193" i="11"/>
  <c r="U192" i="11"/>
  <c r="J192" i="11"/>
  <c r="O192" i="11"/>
  <c r="I192" i="11"/>
  <c r="T192" i="11"/>
  <c r="L192" i="11"/>
  <c r="R192" i="11"/>
  <c r="M192" i="11"/>
  <c r="K192" i="11"/>
  <c r="Q192" i="11"/>
  <c r="P192" i="11"/>
  <c r="N193" i="11" l="1"/>
  <c r="L193" i="11"/>
  <c r="S193" i="11"/>
  <c r="I193" i="11"/>
  <c r="H194" i="11"/>
  <c r="U193" i="11"/>
  <c r="R193" i="11"/>
  <c r="T193" i="11"/>
  <c r="J193" i="11"/>
  <c r="O193" i="11"/>
  <c r="M193" i="11"/>
  <c r="K193" i="11"/>
  <c r="Q193" i="11"/>
  <c r="P193" i="11"/>
  <c r="J194" i="11" l="1"/>
  <c r="L194" i="11"/>
  <c r="K194" i="11"/>
  <c r="N194" i="11"/>
  <c r="U194" i="11"/>
  <c r="M194" i="11"/>
  <c r="R194" i="11"/>
  <c r="H195" i="11"/>
  <c r="S194" i="11"/>
  <c r="T194" i="11"/>
  <c r="O194" i="11"/>
  <c r="I194" i="11"/>
  <c r="Q194" i="11"/>
  <c r="P194" i="11"/>
  <c r="K195" i="11" l="1"/>
  <c r="L195" i="11"/>
  <c r="I195" i="11"/>
  <c r="T195" i="11"/>
  <c r="M195" i="11"/>
  <c r="S195" i="11"/>
  <c r="H196" i="11"/>
  <c r="N195" i="11"/>
  <c r="U195" i="11"/>
  <c r="O195" i="11"/>
  <c r="R195" i="11"/>
  <c r="J195" i="11"/>
  <c r="P195" i="11"/>
  <c r="Q195" i="11"/>
  <c r="O196" i="11" l="1"/>
  <c r="M196" i="11"/>
  <c r="L196" i="11"/>
  <c r="J196" i="11"/>
  <c r="U196" i="11"/>
  <c r="N196" i="11"/>
  <c r="R196" i="11"/>
  <c r="T196" i="11"/>
  <c r="H197" i="11"/>
  <c r="I196" i="11"/>
  <c r="K196" i="11"/>
  <c r="S196" i="11"/>
  <c r="Q196" i="11"/>
  <c r="P196" i="11"/>
  <c r="S197" i="11" l="1"/>
  <c r="R197" i="11"/>
  <c r="K197" i="11"/>
  <c r="J197" i="11"/>
  <c r="M197" i="11"/>
  <c r="H198" i="11"/>
  <c r="N197" i="11"/>
  <c r="O197" i="11"/>
  <c r="U197" i="11"/>
  <c r="I197" i="11"/>
  <c r="T197" i="11"/>
  <c r="L197" i="11"/>
  <c r="P197" i="11"/>
  <c r="Q197" i="11"/>
  <c r="L198" i="11" l="1"/>
  <c r="K198" i="11"/>
  <c r="M198" i="11"/>
  <c r="R198" i="11"/>
  <c r="S198" i="11"/>
  <c r="I198" i="11"/>
  <c r="H199" i="11"/>
  <c r="U198" i="11"/>
  <c r="N198" i="11"/>
  <c r="T198" i="11"/>
  <c r="J198" i="11"/>
  <c r="O198" i="11"/>
  <c r="Q198" i="11"/>
  <c r="P198" i="11"/>
  <c r="T199" i="11" l="1"/>
  <c r="O199" i="11"/>
  <c r="L199" i="11"/>
  <c r="N199" i="11"/>
  <c r="U199" i="11"/>
  <c r="J199" i="11"/>
  <c r="S199" i="11"/>
  <c r="K199" i="11"/>
  <c r="R199" i="11"/>
  <c r="I199" i="11"/>
  <c r="M199" i="11"/>
  <c r="H200" i="11"/>
  <c r="Q199" i="11"/>
  <c r="P199" i="11"/>
  <c r="L200" i="11" l="1"/>
  <c r="S200" i="11"/>
  <c r="H201" i="11"/>
  <c r="J200" i="11"/>
  <c r="K200" i="11"/>
  <c r="M200" i="11"/>
  <c r="I200" i="11"/>
  <c r="R200" i="11"/>
  <c r="O200" i="11"/>
  <c r="U200" i="11"/>
  <c r="T200" i="11"/>
  <c r="N200" i="11"/>
  <c r="Q200" i="11"/>
  <c r="P200" i="11"/>
  <c r="O201" i="11" l="1"/>
  <c r="K201" i="11"/>
  <c r="H202" i="11"/>
  <c r="N201" i="11"/>
  <c r="L201" i="11"/>
  <c r="R201" i="11"/>
  <c r="U201" i="11"/>
  <c r="I201" i="11"/>
  <c r="J201" i="11"/>
  <c r="M201" i="11"/>
  <c r="T201" i="11"/>
  <c r="S201" i="11"/>
  <c r="P201" i="11"/>
  <c r="Q201" i="11"/>
  <c r="T202" i="11" l="1"/>
  <c r="O202" i="11"/>
  <c r="H203" i="11"/>
  <c r="R202" i="11"/>
  <c r="I202" i="11"/>
  <c r="S202" i="11"/>
  <c r="N202" i="11"/>
  <c r="J202" i="11"/>
  <c r="K202" i="11"/>
  <c r="U202" i="11"/>
  <c r="L202" i="11"/>
  <c r="M202" i="11"/>
  <c r="P202" i="11"/>
  <c r="Q202" i="11"/>
  <c r="I203" i="11" l="1"/>
  <c r="J203" i="11"/>
  <c r="O203" i="11"/>
  <c r="T203" i="11"/>
  <c r="K203" i="11"/>
  <c r="L203" i="11"/>
  <c r="N203" i="11"/>
  <c r="R203" i="11"/>
  <c r="H204" i="11"/>
  <c r="M203" i="11"/>
  <c r="S203" i="11"/>
  <c r="U203" i="11"/>
  <c r="Q203" i="11"/>
  <c r="P203" i="11"/>
  <c r="T204" i="11" l="1"/>
  <c r="J204" i="11"/>
  <c r="O204" i="11"/>
  <c r="I204" i="11"/>
  <c r="N204" i="11"/>
  <c r="S204" i="11"/>
  <c r="L204" i="11"/>
  <c r="H205" i="11"/>
  <c r="R204" i="11"/>
  <c r="M204" i="11"/>
  <c r="U204" i="11"/>
  <c r="K204" i="11"/>
  <c r="P204" i="11"/>
  <c r="Q204" i="11"/>
  <c r="O205" i="11" l="1"/>
  <c r="R205" i="11"/>
  <c r="H206" i="11"/>
  <c r="N205" i="11"/>
  <c r="M205" i="11"/>
  <c r="J205" i="11"/>
  <c r="T205" i="11"/>
  <c r="K205" i="11"/>
  <c r="I205" i="11"/>
  <c r="L205" i="11"/>
  <c r="U205" i="11"/>
  <c r="S205" i="11"/>
  <c r="P205" i="11"/>
  <c r="Q205" i="11"/>
  <c r="T206" i="11" l="1"/>
  <c r="O206" i="11"/>
  <c r="H207" i="11"/>
  <c r="S206" i="11"/>
  <c r="U206" i="11"/>
  <c r="N206" i="11"/>
  <c r="L206" i="11"/>
  <c r="M206" i="11"/>
  <c r="J206" i="11"/>
  <c r="I206" i="11"/>
  <c r="R206" i="11"/>
  <c r="K206" i="11"/>
  <c r="P206" i="11"/>
  <c r="Q206" i="11"/>
  <c r="L207" i="11" l="1"/>
  <c r="U207" i="11"/>
  <c r="J207" i="11"/>
  <c r="H208" i="11"/>
  <c r="S207" i="11"/>
  <c r="K207" i="11"/>
  <c r="I207" i="11"/>
  <c r="M207" i="11"/>
  <c r="T207" i="11"/>
  <c r="N207" i="11"/>
  <c r="R207" i="11"/>
  <c r="O207" i="11"/>
  <c r="Q207" i="11"/>
  <c r="P207" i="11"/>
  <c r="M208" i="11" l="1"/>
  <c r="I208" i="11"/>
  <c r="T208" i="11"/>
  <c r="O208" i="11"/>
  <c r="H209" i="11"/>
  <c r="N208" i="11"/>
  <c r="K208" i="11"/>
  <c r="U208" i="11"/>
  <c r="R208" i="11"/>
  <c r="S208" i="11"/>
  <c r="J208" i="11"/>
  <c r="L208" i="11"/>
  <c r="P208" i="11"/>
  <c r="Q208" i="11"/>
  <c r="I209" i="11" l="1"/>
  <c r="N209" i="11"/>
  <c r="O209" i="11"/>
  <c r="U209" i="11"/>
  <c r="L209" i="11"/>
  <c r="R209" i="11"/>
  <c r="H210" i="11"/>
  <c r="M209" i="11"/>
  <c r="K209" i="11"/>
  <c r="T209" i="11"/>
  <c r="S209" i="11"/>
  <c r="J209" i="11"/>
  <c r="P209" i="11"/>
  <c r="Q209" i="11"/>
  <c r="K210" i="11" l="1"/>
  <c r="T210" i="11"/>
  <c r="H211" i="11"/>
  <c r="U210" i="11"/>
  <c r="N210" i="11"/>
  <c r="I210" i="11"/>
  <c r="R210" i="11"/>
  <c r="J210" i="11"/>
  <c r="O210" i="11"/>
  <c r="L210" i="11"/>
  <c r="S210" i="11"/>
  <c r="M210" i="11"/>
  <c r="Q210" i="11"/>
  <c r="P210" i="11"/>
  <c r="H212" i="11" l="1"/>
  <c r="U211" i="11"/>
  <c r="N211" i="11"/>
  <c r="S211" i="11"/>
  <c r="M211" i="11"/>
  <c r="O211" i="11"/>
  <c r="K211" i="11"/>
  <c r="I211" i="11"/>
  <c r="R211" i="11"/>
  <c r="T211" i="11"/>
  <c r="J211" i="11"/>
  <c r="L211" i="11"/>
  <c r="P211" i="11"/>
  <c r="Q211" i="11"/>
  <c r="L212" i="11" l="1"/>
  <c r="N212" i="11"/>
  <c r="J212" i="11"/>
  <c r="K212" i="11"/>
  <c r="S212" i="11"/>
  <c r="T212" i="11"/>
  <c r="I212" i="11"/>
  <c r="R212" i="11"/>
  <c r="O212" i="11"/>
  <c r="M212" i="11"/>
  <c r="U212" i="11"/>
  <c r="H213" i="11"/>
  <c r="P212" i="11"/>
  <c r="Q212" i="11"/>
  <c r="T213" i="11" l="1"/>
  <c r="U213" i="11"/>
  <c r="R213" i="11"/>
  <c r="I213" i="11"/>
  <c r="S213" i="11"/>
  <c r="O213" i="11"/>
  <c r="K213" i="11"/>
  <c r="H214" i="11"/>
  <c r="M213" i="11"/>
  <c r="N213" i="11"/>
  <c r="J213" i="11"/>
  <c r="L213" i="11"/>
  <c r="P213" i="11"/>
  <c r="Q213" i="11"/>
  <c r="H215" i="11" l="1"/>
  <c r="O214" i="11"/>
  <c r="I214" i="11"/>
  <c r="T214" i="11"/>
  <c r="N214" i="11"/>
  <c r="K214" i="11"/>
  <c r="M214" i="11"/>
  <c r="S214" i="11"/>
  <c r="L214" i="11"/>
  <c r="U214" i="11"/>
  <c r="R214" i="11"/>
  <c r="J214" i="11"/>
  <c r="P214" i="11"/>
  <c r="Q214" i="11"/>
  <c r="R215" i="11" l="1"/>
  <c r="M215" i="11"/>
  <c r="I215" i="11"/>
  <c r="N215" i="11"/>
  <c r="H216" i="11"/>
  <c r="J215" i="11"/>
  <c r="T215" i="11"/>
  <c r="U215" i="11"/>
  <c r="S215" i="11"/>
  <c r="L215" i="11"/>
  <c r="K215" i="11"/>
  <c r="O215" i="11"/>
  <c r="Q215" i="11"/>
  <c r="P215" i="11"/>
  <c r="L216" i="11" l="1"/>
  <c r="H217" i="11"/>
  <c r="K216" i="11"/>
  <c r="R216" i="11"/>
  <c r="M216" i="11"/>
  <c r="I216" i="11"/>
  <c r="U216" i="11"/>
  <c r="T216" i="11"/>
  <c r="S216" i="11"/>
  <c r="N216" i="11"/>
  <c r="J216" i="11"/>
  <c r="O216" i="11"/>
  <c r="Q216" i="11"/>
  <c r="P216" i="11"/>
  <c r="K217" i="11" l="1"/>
  <c r="O217" i="11"/>
  <c r="T217" i="11"/>
  <c r="S217" i="11"/>
  <c r="R217" i="11"/>
  <c r="I217" i="11"/>
  <c r="M217" i="11"/>
  <c r="J217" i="11"/>
  <c r="U217" i="11"/>
  <c r="N217" i="11"/>
  <c r="L217" i="11"/>
  <c r="H218" i="11"/>
  <c r="Q217" i="11"/>
  <c r="P217" i="11"/>
  <c r="J218" i="11" l="1"/>
  <c r="L218" i="11"/>
  <c r="O218" i="11"/>
  <c r="K218" i="11"/>
  <c r="R218" i="11"/>
  <c r="T218" i="11"/>
  <c r="H219" i="11"/>
  <c r="M218" i="11"/>
  <c r="I218" i="11"/>
  <c r="N218" i="11"/>
  <c r="U218" i="11"/>
  <c r="S218" i="11"/>
  <c r="P218" i="11"/>
  <c r="Q218" i="11"/>
  <c r="O219" i="11" l="1"/>
  <c r="L219" i="11"/>
  <c r="M219" i="11"/>
  <c r="N219" i="11"/>
  <c r="I219" i="11"/>
  <c r="K219" i="11"/>
  <c r="H220" i="11"/>
  <c r="S219" i="11"/>
  <c r="U219" i="11"/>
  <c r="R219" i="11"/>
  <c r="T219" i="11"/>
  <c r="J219" i="11"/>
  <c r="Q219" i="11"/>
  <c r="P219" i="11"/>
  <c r="K220" i="11" l="1"/>
  <c r="R220" i="11"/>
  <c r="M220" i="11"/>
  <c r="N220" i="11"/>
  <c r="I220" i="11"/>
  <c r="J220" i="11"/>
  <c r="T220" i="11"/>
  <c r="O220" i="11"/>
  <c r="U220" i="11"/>
  <c r="L220" i="11"/>
  <c r="H221" i="11"/>
  <c r="S220" i="11"/>
  <c r="P220" i="11"/>
  <c r="Q220" i="11"/>
  <c r="J221" i="11" l="1"/>
  <c r="L221" i="11"/>
  <c r="O221" i="11"/>
  <c r="I221" i="11"/>
  <c r="R221" i="11"/>
  <c r="U221" i="11"/>
  <c r="S221" i="11"/>
  <c r="K221" i="11"/>
  <c r="T221" i="11"/>
  <c r="M221" i="11"/>
  <c r="H222" i="11"/>
  <c r="N221" i="11"/>
  <c r="P221" i="11"/>
  <c r="Q221" i="11"/>
  <c r="U222" i="11" l="1"/>
  <c r="T222" i="11"/>
  <c r="H223" i="11"/>
  <c r="L222" i="11"/>
  <c r="R222" i="11"/>
  <c r="I222" i="11"/>
  <c r="O222" i="11"/>
  <c r="J222" i="11"/>
  <c r="N222" i="11"/>
  <c r="K222" i="11"/>
  <c r="S222" i="11"/>
  <c r="M222" i="11"/>
  <c r="Q222" i="11"/>
  <c r="P222" i="11"/>
  <c r="I223" i="11" l="1"/>
  <c r="O223" i="11"/>
  <c r="T223" i="11"/>
  <c r="N223" i="11"/>
  <c r="K223" i="11"/>
  <c r="R223" i="11"/>
  <c r="M223" i="11"/>
  <c r="L223" i="11"/>
  <c r="S223" i="11"/>
  <c r="H224" i="11"/>
  <c r="U223" i="11"/>
  <c r="J223" i="11"/>
  <c r="Q223" i="11"/>
  <c r="P223" i="11"/>
  <c r="N224" i="11" l="1"/>
  <c r="R224" i="11"/>
  <c r="H225" i="11"/>
  <c r="K224" i="11"/>
  <c r="J224" i="11"/>
  <c r="M224" i="11"/>
  <c r="L224" i="11"/>
  <c r="T224" i="11"/>
  <c r="I224" i="11"/>
  <c r="U224" i="11"/>
  <c r="O224" i="11"/>
  <c r="S224" i="11"/>
  <c r="P224" i="11"/>
  <c r="Q224" i="11"/>
  <c r="O225" i="11" l="1"/>
  <c r="H226" i="11"/>
  <c r="M225" i="11"/>
  <c r="U225" i="11"/>
  <c r="N225" i="11"/>
  <c r="R225" i="11"/>
  <c r="I225" i="11"/>
  <c r="S225" i="11"/>
  <c r="K225" i="11"/>
  <c r="L225" i="11"/>
  <c r="T225" i="11"/>
  <c r="J225" i="11"/>
  <c r="P225" i="11"/>
  <c r="Q225" i="11"/>
  <c r="I226" i="11" l="1"/>
  <c r="L226" i="11"/>
  <c r="K226" i="11"/>
  <c r="N226" i="11"/>
  <c r="J226" i="11"/>
  <c r="M226" i="11"/>
  <c r="U226" i="11"/>
  <c r="H227" i="11"/>
  <c r="S226" i="11"/>
  <c r="T226" i="11"/>
  <c r="O226" i="11"/>
  <c r="R226" i="11"/>
  <c r="Q226" i="11"/>
  <c r="P226" i="11"/>
  <c r="M227" i="11" l="1"/>
  <c r="R227" i="11"/>
  <c r="H228" i="11"/>
  <c r="I227" i="11"/>
  <c r="O227" i="11"/>
  <c r="J227" i="11"/>
  <c r="T227" i="11"/>
  <c r="U227" i="11"/>
  <c r="S227" i="11"/>
  <c r="K227" i="11"/>
  <c r="N227" i="11"/>
  <c r="L227" i="11"/>
  <c r="P227" i="11"/>
  <c r="Q227" i="11"/>
  <c r="O228" i="11" l="1"/>
  <c r="T228" i="11"/>
  <c r="I228" i="11"/>
  <c r="J228" i="11"/>
  <c r="U228" i="11"/>
  <c r="H229" i="11"/>
  <c r="S228" i="11"/>
  <c r="N228" i="11"/>
  <c r="M228" i="11"/>
  <c r="R228" i="11"/>
  <c r="K228" i="11"/>
  <c r="L228" i="11"/>
  <c r="Q228" i="11"/>
  <c r="P228" i="11"/>
  <c r="J229" i="11" l="1"/>
  <c r="S229" i="11"/>
  <c r="R229" i="11"/>
  <c r="L229" i="11"/>
  <c r="T229" i="11"/>
  <c r="O229" i="11"/>
  <c r="H230" i="11"/>
  <c r="K229" i="11"/>
  <c r="I229" i="11"/>
  <c r="U229" i="11"/>
  <c r="N229" i="11"/>
  <c r="M229" i="11"/>
  <c r="P229" i="11"/>
  <c r="Q229" i="11"/>
  <c r="H231" i="11" l="1"/>
  <c r="S230" i="11"/>
  <c r="O230" i="11"/>
  <c r="K230" i="11"/>
  <c r="I230" i="11"/>
  <c r="U230" i="11"/>
  <c r="T230" i="11"/>
  <c r="L230" i="11"/>
  <c r="N230" i="11"/>
  <c r="M230" i="11"/>
  <c r="R230" i="11"/>
  <c r="J230" i="11"/>
  <c r="Q230" i="11"/>
  <c r="P230" i="11"/>
  <c r="N231" i="11" l="1"/>
  <c r="U231" i="11"/>
  <c r="P231" i="11"/>
  <c r="O231" i="11"/>
  <c r="H232" i="11"/>
  <c r="I231" i="11"/>
  <c r="S231" i="11"/>
  <c r="K231" i="11"/>
  <c r="R231" i="11"/>
  <c r="Q231" i="11"/>
  <c r="L231" i="11"/>
  <c r="T231" i="11"/>
  <c r="J231" i="11"/>
  <c r="M231" i="11"/>
  <c r="N232" i="11" l="1"/>
  <c r="Q232" i="11"/>
  <c r="J232" i="11"/>
  <c r="R232" i="11"/>
  <c r="U232" i="11"/>
  <c r="I232" i="11"/>
  <c r="T232" i="11"/>
  <c r="M232" i="11"/>
  <c r="L232" i="11"/>
  <c r="O232" i="11"/>
  <c r="K232" i="11"/>
  <c r="S232" i="11"/>
  <c r="H233" i="11"/>
  <c r="P232" i="11"/>
  <c r="I233" i="11" l="1"/>
  <c r="K233" i="11"/>
  <c r="O233" i="11"/>
  <c r="P233" i="11"/>
  <c r="T233" i="11"/>
  <c r="M233" i="11"/>
  <c r="S233" i="11"/>
  <c r="U233" i="11"/>
  <c r="L233" i="11"/>
  <c r="H234" i="11"/>
  <c r="N233" i="11"/>
  <c r="R233" i="11"/>
  <c r="J233" i="11"/>
  <c r="Q233" i="11"/>
  <c r="Q234" i="11" l="1"/>
  <c r="M234" i="11"/>
  <c r="P234" i="11"/>
  <c r="I234" i="11"/>
  <c r="U234" i="11"/>
  <c r="R234" i="11"/>
  <c r="H235" i="11"/>
  <c r="S234" i="11"/>
  <c r="K234" i="11"/>
  <c r="J234" i="11"/>
  <c r="N234" i="11"/>
  <c r="O234" i="11"/>
  <c r="L234" i="11"/>
  <c r="T234" i="11"/>
  <c r="L235" i="11" l="1"/>
  <c r="M235" i="11"/>
  <c r="J235" i="11"/>
  <c r="P235" i="11"/>
  <c r="S235" i="11"/>
  <c r="U235" i="11"/>
  <c r="R235" i="11"/>
  <c r="H236" i="11"/>
  <c r="I235" i="11"/>
  <c r="K235" i="11"/>
  <c r="Q235" i="11"/>
  <c r="N235" i="11"/>
  <c r="O235" i="11"/>
  <c r="T235" i="11"/>
  <c r="T236" i="11" l="1"/>
  <c r="Q236" i="11"/>
  <c r="H237" i="11"/>
  <c r="J236" i="11"/>
  <c r="U236" i="11"/>
  <c r="K236" i="11"/>
  <c r="O236" i="11"/>
  <c r="S236" i="11"/>
  <c r="P236" i="11"/>
  <c r="L236" i="11"/>
  <c r="N236" i="11"/>
  <c r="M236" i="11"/>
  <c r="I236" i="11"/>
  <c r="R236" i="11"/>
  <c r="K237" i="11" l="1"/>
  <c r="R237" i="11"/>
  <c r="O237" i="11"/>
  <c r="I237" i="11"/>
  <c r="L237" i="11"/>
  <c r="Q237" i="11"/>
  <c r="H238" i="11"/>
  <c r="U237" i="11"/>
  <c r="T237" i="11"/>
  <c r="N237" i="11"/>
  <c r="S237" i="11"/>
  <c r="M237" i="11"/>
  <c r="P237" i="11"/>
  <c r="J237" i="11"/>
  <c r="S238" i="11" l="1"/>
  <c r="P238" i="11"/>
  <c r="I238" i="11"/>
  <c r="O238" i="11"/>
  <c r="T238" i="11"/>
  <c r="K238" i="11"/>
  <c r="Q238" i="11"/>
  <c r="R238" i="11"/>
  <c r="H239" i="11"/>
  <c r="J238" i="11"/>
  <c r="L238" i="11"/>
  <c r="N238" i="11"/>
  <c r="M238" i="11"/>
  <c r="U238" i="11"/>
  <c r="U239" i="11" l="1"/>
  <c r="N239" i="11"/>
  <c r="P239" i="11"/>
  <c r="S239" i="11"/>
  <c r="I239" i="11"/>
  <c r="K239" i="11"/>
  <c r="J239" i="11"/>
  <c r="T239" i="11"/>
  <c r="O239" i="11"/>
  <c r="L239" i="11"/>
  <c r="R239" i="11"/>
  <c r="M239" i="11"/>
  <c r="H240" i="11"/>
  <c r="Q239" i="11"/>
  <c r="H241" i="11" l="1"/>
  <c r="S240" i="11"/>
  <c r="R240" i="11"/>
  <c r="O240" i="11"/>
  <c r="K240" i="11"/>
  <c r="Q240" i="11"/>
  <c r="T240" i="11"/>
  <c r="N240" i="11"/>
  <c r="M240" i="11"/>
  <c r="P240" i="11"/>
  <c r="L240" i="11"/>
  <c r="J240" i="11"/>
  <c r="I240" i="11"/>
  <c r="U240" i="11"/>
  <c r="R241" i="11" l="1"/>
  <c r="O241" i="11"/>
  <c r="P241" i="11"/>
  <c r="S241" i="11"/>
  <c r="I241" i="11"/>
  <c r="Q241" i="11"/>
  <c r="U241" i="11"/>
  <c r="N241" i="11"/>
  <c r="K241" i="11"/>
  <c r="T241" i="11"/>
  <c r="M241" i="11"/>
  <c r="H242" i="11"/>
  <c r="L241" i="11"/>
  <c r="J241" i="11"/>
  <c r="U242" i="11" l="1"/>
  <c r="P242" i="11"/>
  <c r="S242" i="11"/>
  <c r="K242" i="11"/>
  <c r="M242" i="11"/>
  <c r="J242" i="11"/>
  <c r="R242" i="11"/>
  <c r="Q242" i="11"/>
  <c r="O242" i="11"/>
  <c r="I242" i="11"/>
  <c r="T242" i="11"/>
  <c r="L242" i="11"/>
  <c r="N242" i="11"/>
  <c r="H243" i="11"/>
  <c r="R243" i="11" l="1"/>
  <c r="U243" i="11"/>
  <c r="H244" i="11"/>
  <c r="J243" i="11"/>
  <c r="Q243" i="11"/>
  <c r="N243" i="11"/>
  <c r="I243" i="11"/>
  <c r="O243" i="11"/>
  <c r="L243" i="11"/>
  <c r="M243" i="11"/>
  <c r="K243" i="11"/>
  <c r="P243" i="11"/>
  <c r="T243" i="11"/>
  <c r="S243" i="11"/>
  <c r="U244" i="11" l="1"/>
  <c r="S244" i="11"/>
  <c r="N244" i="11"/>
  <c r="H245" i="11"/>
  <c r="J244" i="11"/>
  <c r="Q244" i="11"/>
  <c r="L244" i="11"/>
  <c r="R244" i="11"/>
  <c r="K244" i="11"/>
  <c r="O244" i="11"/>
  <c r="I244" i="11"/>
  <c r="M244" i="11"/>
  <c r="P244" i="11"/>
  <c r="T244" i="11"/>
  <c r="K245" i="11" l="1"/>
  <c r="L245" i="11"/>
  <c r="R245" i="11"/>
  <c r="O245" i="11"/>
  <c r="S245" i="11"/>
  <c r="N245" i="11"/>
  <c r="J245" i="11"/>
  <c r="I245" i="11"/>
  <c r="P245" i="11"/>
  <c r="H246" i="11"/>
  <c r="Q245" i="11"/>
  <c r="M245" i="11"/>
  <c r="U245" i="11"/>
  <c r="T245" i="11"/>
  <c r="L246" i="11" l="1"/>
  <c r="U246" i="11"/>
  <c r="P246" i="11"/>
  <c r="H247" i="11"/>
  <c r="N246" i="11"/>
  <c r="Q246" i="11"/>
  <c r="R246" i="11"/>
  <c r="I246" i="11"/>
  <c r="M246" i="11"/>
  <c r="T246" i="11"/>
  <c r="O246" i="11"/>
  <c r="S246" i="11"/>
  <c r="K246" i="11"/>
  <c r="J246" i="11"/>
  <c r="S247" i="11" l="1"/>
  <c r="H248" i="11"/>
  <c r="Q247" i="11"/>
  <c r="J247" i="11"/>
  <c r="I247" i="11"/>
  <c r="L247" i="11"/>
  <c r="O247" i="11"/>
  <c r="K247" i="11"/>
  <c r="M247" i="11"/>
  <c r="N247" i="11"/>
  <c r="U247" i="11"/>
  <c r="R247" i="11"/>
  <c r="T247" i="11"/>
  <c r="P247" i="11"/>
  <c r="R248" i="11" l="1"/>
  <c r="Q248" i="11"/>
  <c r="M248" i="11"/>
  <c r="O248" i="11"/>
  <c r="J248" i="11"/>
  <c r="N248" i="11"/>
  <c r="H249" i="11"/>
  <c r="S248" i="11"/>
  <c r="L248" i="11"/>
  <c r="T248" i="11"/>
  <c r="P248" i="11"/>
  <c r="I248" i="11"/>
  <c r="U248" i="11"/>
  <c r="K248" i="11"/>
  <c r="P249" i="11" l="1"/>
  <c r="L249" i="11"/>
  <c r="S249" i="11"/>
  <c r="H250" i="11"/>
  <c r="U249" i="11"/>
  <c r="T249" i="11"/>
  <c r="Q249" i="11"/>
  <c r="M249" i="11"/>
  <c r="I249" i="11"/>
  <c r="K249" i="11"/>
  <c r="J249" i="11"/>
  <c r="R249" i="11"/>
  <c r="N249" i="11"/>
  <c r="O249" i="11"/>
  <c r="L250" i="11" l="1"/>
  <c r="O250" i="11"/>
  <c r="P250" i="11"/>
  <c r="U250" i="11"/>
  <c r="J250" i="11"/>
  <c r="N250" i="11"/>
  <c r="Q250" i="11"/>
  <c r="S250" i="11"/>
  <c r="I250" i="11"/>
  <c r="R250" i="11"/>
  <c r="M250" i="11"/>
  <c r="T250" i="11"/>
  <c r="H251" i="11"/>
  <c r="K250" i="11"/>
  <c r="K251" i="11" l="1"/>
  <c r="S251" i="11"/>
  <c r="O251" i="11"/>
  <c r="I251" i="11"/>
  <c r="M251" i="11"/>
  <c r="J251" i="11"/>
  <c r="Q251" i="11"/>
  <c r="H252" i="11"/>
  <c r="U251" i="11"/>
  <c r="R251" i="11"/>
  <c r="P251" i="11"/>
  <c r="L251" i="11"/>
  <c r="T251" i="11"/>
  <c r="N251" i="11"/>
  <c r="I252" i="11" l="1"/>
  <c r="S252" i="11"/>
  <c r="J252" i="11"/>
  <c r="L252" i="11"/>
  <c r="R252" i="11"/>
  <c r="T252" i="11"/>
  <c r="P252" i="11"/>
  <c r="O252" i="11"/>
  <c r="Q252" i="11"/>
  <c r="H253" i="11"/>
  <c r="U252" i="11"/>
  <c r="M252" i="11"/>
  <c r="K252" i="11"/>
  <c r="N252" i="11"/>
  <c r="Q253" i="11" l="1"/>
  <c r="U253" i="11"/>
  <c r="I253" i="11"/>
  <c r="T253" i="11"/>
  <c r="J253" i="11"/>
  <c r="S253" i="11"/>
  <c r="N253" i="11"/>
  <c r="M253" i="11"/>
  <c r="R253" i="11"/>
  <c r="P253" i="11"/>
  <c r="L253" i="11"/>
  <c r="K253" i="11"/>
  <c r="O253" i="11"/>
  <c r="H254" i="11"/>
  <c r="J254" i="11" l="1"/>
  <c r="T254" i="11"/>
  <c r="M254" i="11"/>
  <c r="I254" i="11"/>
  <c r="H255" i="11"/>
  <c r="L254" i="11"/>
  <c r="P254" i="11"/>
  <c r="R254" i="11"/>
  <c r="O254" i="11"/>
  <c r="U254" i="11"/>
  <c r="S254" i="11"/>
  <c r="K254" i="11"/>
  <c r="Q254" i="11"/>
  <c r="N254" i="11"/>
  <c r="H256" i="11" l="1"/>
  <c r="I255" i="11"/>
  <c r="S255" i="11"/>
  <c r="T255" i="11"/>
  <c r="K255" i="11"/>
  <c r="O255" i="11"/>
  <c r="M255" i="11"/>
  <c r="L255" i="11"/>
  <c r="J255" i="11"/>
  <c r="U255" i="11"/>
  <c r="N255" i="11"/>
  <c r="P255" i="11"/>
  <c r="R255" i="11"/>
  <c r="Q255" i="11"/>
  <c r="U256" i="11" l="1"/>
  <c r="I256" i="11"/>
  <c r="Q256" i="11"/>
  <c r="N256" i="11"/>
  <c r="K256" i="11"/>
  <c r="M256" i="11"/>
  <c r="P256" i="11"/>
  <c r="H257" i="11"/>
  <c r="J256" i="11"/>
  <c r="L256" i="11"/>
  <c r="R256" i="11"/>
  <c r="T256" i="11"/>
  <c r="S256" i="11"/>
  <c r="O256" i="11"/>
  <c r="U257" i="11" l="1"/>
  <c r="H258" i="11"/>
  <c r="J257" i="11"/>
  <c r="M257" i="11"/>
  <c r="I257" i="11"/>
  <c r="P257" i="11"/>
  <c r="R257" i="11"/>
  <c r="N257" i="11"/>
  <c r="L257" i="11"/>
  <c r="O257" i="11"/>
  <c r="S257" i="11"/>
  <c r="Q257" i="11"/>
  <c r="T257" i="11"/>
  <c r="K257" i="11"/>
  <c r="R258" i="11" l="1"/>
  <c r="U258" i="11"/>
  <c r="Q258" i="11"/>
  <c r="N258" i="11"/>
  <c r="J258" i="11"/>
  <c r="T258" i="11"/>
  <c r="H259" i="11"/>
  <c r="P258" i="11"/>
  <c r="K258" i="11"/>
  <c r="S258" i="11"/>
  <c r="I258" i="11"/>
  <c r="M258" i="11"/>
  <c r="L258" i="11"/>
  <c r="O258" i="11"/>
  <c r="J259" i="11" l="1"/>
  <c r="N259" i="11"/>
  <c r="M259" i="11"/>
  <c r="Q259" i="11"/>
  <c r="H260" i="11"/>
  <c r="U259" i="11"/>
  <c r="P259" i="11"/>
  <c r="R259" i="11"/>
  <c r="L259" i="11"/>
  <c r="O259" i="11"/>
  <c r="T259" i="11"/>
  <c r="S259" i="11"/>
  <c r="I259" i="11"/>
  <c r="K259" i="11"/>
  <c r="K260" i="11" l="1"/>
  <c r="Q260" i="11"/>
  <c r="R260" i="11"/>
  <c r="H261" i="11"/>
  <c r="I260" i="11"/>
  <c r="J260" i="11"/>
  <c r="T260" i="11"/>
  <c r="M260" i="11"/>
  <c r="S260" i="11"/>
  <c r="O260" i="11"/>
  <c r="N260" i="11"/>
  <c r="L260" i="11"/>
  <c r="U260" i="11"/>
  <c r="P260" i="11"/>
  <c r="K261" i="11" l="1"/>
  <c r="L261" i="11"/>
  <c r="T261" i="11"/>
  <c r="J261" i="11"/>
  <c r="S261" i="11"/>
  <c r="O261" i="11"/>
  <c r="R261" i="11"/>
  <c r="I261" i="11"/>
  <c r="Q261" i="11"/>
  <c r="U261" i="11"/>
  <c r="N261" i="11"/>
  <c r="H262" i="11"/>
  <c r="M261" i="11"/>
  <c r="P261" i="11"/>
  <c r="K262" i="11" l="1"/>
  <c r="O262" i="11"/>
  <c r="P262" i="11"/>
  <c r="Q262" i="11"/>
  <c r="H263" i="11"/>
  <c r="N262" i="11"/>
  <c r="L262" i="11"/>
  <c r="T262" i="11"/>
  <c r="S262" i="11"/>
  <c r="R262" i="11"/>
  <c r="U262" i="11"/>
  <c r="J262" i="11"/>
  <c r="M262" i="11"/>
  <c r="I262" i="11"/>
  <c r="J263" i="11" l="1"/>
  <c r="L263" i="11"/>
  <c r="R263" i="11"/>
  <c r="O263" i="11"/>
  <c r="S263" i="11"/>
  <c r="H264" i="11"/>
  <c r="P263" i="11"/>
  <c r="I263" i="11"/>
  <c r="U263" i="11"/>
  <c r="T263" i="11"/>
  <c r="N263" i="11"/>
  <c r="Q263" i="11"/>
  <c r="M263" i="11"/>
  <c r="K263" i="11"/>
  <c r="P264" i="11" l="1"/>
  <c r="U264" i="11"/>
  <c r="I264" i="11"/>
  <c r="O264" i="11"/>
  <c r="H265" i="11"/>
  <c r="T264" i="11"/>
  <c r="R264" i="11"/>
  <c r="N264" i="11"/>
  <c r="L264" i="11"/>
  <c r="J264" i="11"/>
  <c r="Q264" i="11"/>
  <c r="K264" i="11"/>
  <c r="M264" i="11"/>
  <c r="S264" i="11"/>
  <c r="P265" i="11" l="1"/>
  <c r="I265" i="11"/>
  <c r="T265" i="11"/>
  <c r="M265" i="11"/>
  <c r="U265" i="11"/>
  <c r="K265" i="11"/>
  <c r="H266" i="11"/>
  <c r="J265" i="11"/>
  <c r="N265" i="11"/>
  <c r="L265" i="11"/>
  <c r="S265" i="11"/>
  <c r="Q265" i="11"/>
  <c r="O265" i="11"/>
  <c r="R265" i="11"/>
  <c r="O266" i="11" l="1"/>
  <c r="K266" i="11"/>
  <c r="S266" i="11"/>
  <c r="N266" i="11"/>
  <c r="R266" i="11"/>
  <c r="I266" i="11"/>
  <c r="J266" i="11"/>
  <c r="U266" i="11"/>
  <c r="M266" i="11"/>
  <c r="T266" i="11"/>
  <c r="L266" i="11"/>
  <c r="Q266" i="11"/>
  <c r="P266" i="11"/>
  <c r="H267" i="11"/>
  <c r="H268" i="11" l="1"/>
  <c r="S267" i="11"/>
  <c r="Q267" i="11"/>
  <c r="K267" i="11"/>
  <c r="N267" i="11"/>
  <c r="P267" i="11"/>
  <c r="I267" i="11"/>
  <c r="R267" i="11"/>
  <c r="L267" i="11"/>
  <c r="M267" i="11"/>
  <c r="J267" i="11"/>
  <c r="O267" i="11"/>
  <c r="T267" i="11"/>
  <c r="U267" i="11"/>
  <c r="K268" i="11" l="1"/>
  <c r="R268" i="11"/>
  <c r="J268" i="11"/>
  <c r="S268" i="11"/>
  <c r="I268" i="11"/>
  <c r="P268" i="11"/>
  <c r="T268" i="11"/>
  <c r="U268" i="11"/>
  <c r="N268" i="11"/>
  <c r="L268" i="11"/>
  <c r="H269" i="11"/>
  <c r="Q268" i="11"/>
  <c r="O268" i="11"/>
  <c r="M268" i="11"/>
  <c r="P269" i="11" l="1"/>
  <c r="U269" i="11"/>
  <c r="H270" i="11"/>
  <c r="O269" i="11"/>
  <c r="I269" i="11"/>
  <c r="L269" i="11"/>
  <c r="J269" i="11"/>
  <c r="M269" i="11"/>
  <c r="N269" i="11"/>
  <c r="R269" i="11"/>
  <c r="T269" i="11"/>
  <c r="Q269" i="11"/>
  <c r="S269" i="11"/>
  <c r="K269" i="11"/>
  <c r="S270" i="11" l="1"/>
  <c r="T270" i="11"/>
  <c r="N270" i="11"/>
  <c r="L270" i="11"/>
  <c r="J270" i="11"/>
  <c r="R270" i="11"/>
  <c r="H271" i="11"/>
  <c r="O270" i="11"/>
  <c r="U270" i="11"/>
  <c r="Q270" i="11"/>
  <c r="I270" i="11"/>
  <c r="K270" i="11"/>
  <c r="P270" i="11"/>
  <c r="M270" i="11"/>
  <c r="S271" i="11" l="1"/>
  <c r="L271" i="11"/>
  <c r="Q271" i="11"/>
  <c r="J271" i="11"/>
  <c r="N271" i="11"/>
  <c r="R271" i="11"/>
  <c r="O271" i="11"/>
  <c r="K271" i="11"/>
  <c r="I271" i="11"/>
  <c r="U271" i="11"/>
  <c r="M271" i="11"/>
  <c r="P271" i="11"/>
  <c r="T271" i="11"/>
  <c r="H272" i="11"/>
  <c r="S272" i="11" l="1"/>
  <c r="I272" i="11"/>
  <c r="L272" i="11"/>
  <c r="K272" i="11"/>
  <c r="M272" i="11"/>
  <c r="Q272" i="11"/>
  <c r="P272" i="11"/>
  <c r="T272" i="11"/>
  <c r="R272" i="11"/>
  <c r="H273" i="11"/>
  <c r="U272" i="11"/>
  <c r="N272" i="11"/>
  <c r="O272" i="11"/>
  <c r="J272" i="11"/>
  <c r="N273" i="11" l="1"/>
  <c r="M273" i="11"/>
  <c r="S273" i="11"/>
  <c r="K273" i="11"/>
  <c r="R273" i="11"/>
  <c r="J273" i="11"/>
  <c r="T273" i="11"/>
  <c r="H274" i="11"/>
  <c r="L273" i="11"/>
  <c r="U273" i="11"/>
  <c r="Q273" i="11"/>
  <c r="I273" i="11"/>
  <c r="O273" i="11"/>
  <c r="P273" i="11"/>
  <c r="O274" i="11" l="1"/>
  <c r="R274" i="11"/>
  <c r="T274" i="11"/>
  <c r="M274" i="11"/>
  <c r="J274" i="11"/>
  <c r="S274" i="11"/>
  <c r="H275" i="11"/>
  <c r="U274" i="11"/>
  <c r="L274" i="11"/>
  <c r="K274" i="11"/>
  <c r="N274" i="11"/>
  <c r="Q274" i="11"/>
  <c r="I274" i="11"/>
  <c r="P274" i="11"/>
  <c r="O275" i="11" l="1"/>
  <c r="I275" i="11"/>
  <c r="H276" i="11"/>
  <c r="Q275" i="11"/>
  <c r="J275" i="11"/>
  <c r="P275" i="11"/>
  <c r="U275" i="11"/>
  <c r="M275" i="11"/>
  <c r="T275" i="11"/>
  <c r="S275" i="11"/>
  <c r="L275" i="11"/>
  <c r="R275" i="11"/>
  <c r="K275" i="11"/>
  <c r="N275" i="11"/>
  <c r="S276" i="11" l="1"/>
  <c r="M276" i="11"/>
  <c r="J276" i="11"/>
  <c r="N276" i="11"/>
  <c r="L276" i="11"/>
  <c r="Q276" i="11"/>
  <c r="H277" i="11"/>
  <c r="O276" i="11"/>
  <c r="R276" i="11"/>
  <c r="I276" i="11"/>
  <c r="U276" i="11"/>
  <c r="P276" i="11"/>
  <c r="K276" i="11"/>
  <c r="T276" i="11"/>
  <c r="T277" i="11" l="1"/>
  <c r="O277" i="11"/>
  <c r="L277" i="11"/>
  <c r="R277" i="11"/>
  <c r="U277" i="11"/>
  <c r="M277" i="11"/>
  <c r="N277" i="11"/>
  <c r="J277" i="11"/>
  <c r="S277" i="11"/>
  <c r="K277" i="11"/>
  <c r="P277" i="11"/>
  <c r="Q277" i="11"/>
  <c r="H278" i="11"/>
  <c r="I277" i="11"/>
  <c r="R278" i="11" l="1"/>
  <c r="U278" i="11"/>
  <c r="P278" i="11"/>
  <c r="N278" i="11"/>
  <c r="S278" i="11"/>
  <c r="M278" i="11"/>
  <c r="H279" i="11"/>
  <c r="K278" i="11"/>
  <c r="L278" i="11"/>
  <c r="Q278" i="11"/>
  <c r="O278" i="11"/>
  <c r="J278" i="11"/>
  <c r="T278" i="11"/>
  <c r="I278" i="11"/>
  <c r="Q279" i="11" l="1"/>
  <c r="P279" i="11"/>
  <c r="M279" i="11"/>
  <c r="I279" i="11"/>
  <c r="J279" i="11"/>
  <c r="T279" i="11"/>
  <c r="S279" i="11"/>
  <c r="K279" i="11"/>
  <c r="L279" i="11"/>
  <c r="R279" i="11"/>
  <c r="N279" i="11"/>
  <c r="H280" i="11"/>
  <c r="O279" i="11"/>
  <c r="U279" i="11"/>
  <c r="L280" i="11" l="1"/>
  <c r="S280" i="11"/>
  <c r="I280" i="11"/>
  <c r="J280" i="11"/>
  <c r="U280" i="11"/>
  <c r="N280" i="11"/>
  <c r="O280" i="11"/>
  <c r="H281" i="11"/>
  <c r="K280" i="11"/>
  <c r="Q280" i="11"/>
  <c r="P280" i="11"/>
  <c r="M280" i="11"/>
  <c r="T280" i="11"/>
  <c r="R280" i="11"/>
  <c r="S281" i="11" l="1"/>
  <c r="J281" i="11"/>
  <c r="H282" i="11"/>
  <c r="L281" i="11"/>
  <c r="P281" i="11"/>
  <c r="M281" i="11"/>
  <c r="N281" i="11"/>
  <c r="Q281" i="11"/>
  <c r="K281" i="11"/>
  <c r="I281" i="11"/>
  <c r="T281" i="11"/>
  <c r="O281" i="11"/>
  <c r="R281" i="11"/>
  <c r="U281" i="11"/>
  <c r="I282" i="11" l="1"/>
  <c r="Q282" i="11"/>
  <c r="U282" i="11"/>
  <c r="S282" i="11"/>
  <c r="J282" i="11"/>
  <c r="O282" i="11"/>
  <c r="R282" i="11"/>
  <c r="K282" i="11"/>
  <c r="P282" i="11"/>
  <c r="N282" i="11"/>
  <c r="H283" i="11"/>
  <c r="L282" i="11"/>
  <c r="M282" i="11"/>
  <c r="T282" i="11"/>
  <c r="K283" i="11" l="1"/>
  <c r="Q283" i="11"/>
  <c r="L283" i="11"/>
  <c r="S283" i="11"/>
  <c r="U283" i="11"/>
  <c r="R283" i="11"/>
  <c r="J283" i="11"/>
  <c r="I283" i="11"/>
  <c r="P283" i="11"/>
  <c r="O283" i="11"/>
  <c r="M283" i="11"/>
  <c r="H284" i="11"/>
  <c r="N283" i="11"/>
  <c r="T283" i="11"/>
  <c r="U284" i="11" l="1"/>
  <c r="H285" i="11"/>
  <c r="R284" i="11"/>
  <c r="M284" i="11"/>
  <c r="O284" i="11"/>
  <c r="I284" i="11"/>
  <c r="T284" i="11"/>
  <c r="J284" i="11"/>
  <c r="Q284" i="11"/>
  <c r="K284" i="11"/>
  <c r="N284" i="11"/>
  <c r="P284" i="11"/>
  <c r="L284" i="11"/>
  <c r="S284" i="11"/>
  <c r="O285" i="11" l="1"/>
  <c r="H286" i="11"/>
  <c r="S285" i="11"/>
  <c r="T285" i="11"/>
  <c r="L285" i="11"/>
  <c r="K285" i="11"/>
  <c r="I285" i="11"/>
  <c r="J285" i="11"/>
  <c r="M285" i="11"/>
  <c r="U285" i="11"/>
  <c r="R285" i="11"/>
  <c r="Q285" i="11"/>
  <c r="N285" i="11"/>
  <c r="P285" i="11"/>
  <c r="P286" i="11" l="1"/>
  <c r="T286" i="11"/>
  <c r="O286" i="11"/>
  <c r="K286" i="11"/>
  <c r="J286" i="11"/>
  <c r="I286" i="11"/>
  <c r="S286" i="11"/>
  <c r="U286" i="11"/>
  <c r="M286" i="11"/>
  <c r="N286" i="11"/>
  <c r="R286" i="11"/>
  <c r="L286" i="11"/>
  <c r="Q286" i="11"/>
  <c r="H287" i="11"/>
  <c r="R287" i="11" l="1"/>
  <c r="H288" i="11"/>
  <c r="S287" i="11"/>
  <c r="L287" i="11"/>
  <c r="Q287" i="11"/>
  <c r="J287" i="11"/>
  <c r="I287" i="11"/>
  <c r="U287" i="11"/>
  <c r="T287" i="11"/>
  <c r="N287" i="11"/>
  <c r="M287" i="11"/>
  <c r="P287" i="11"/>
  <c r="K287" i="11"/>
  <c r="O287" i="11"/>
  <c r="R288" i="11" l="1"/>
  <c r="N288" i="11"/>
  <c r="J288" i="11"/>
  <c r="K288" i="11"/>
  <c r="S288" i="11"/>
  <c r="M288" i="11"/>
  <c r="Q288" i="11"/>
  <c r="P288" i="11"/>
  <c r="I288" i="11"/>
  <c r="U288" i="11"/>
  <c r="H289" i="11"/>
  <c r="O288" i="11"/>
  <c r="L288" i="11"/>
  <c r="T288" i="11"/>
  <c r="Q289" i="11" l="1"/>
  <c r="S289" i="11"/>
  <c r="P289" i="11"/>
  <c r="I289" i="11"/>
  <c r="L289" i="11"/>
  <c r="K289" i="11"/>
  <c r="H290" i="11"/>
  <c r="O289" i="11"/>
  <c r="R289" i="11"/>
  <c r="N289" i="11"/>
  <c r="M289" i="11"/>
  <c r="T289" i="11"/>
  <c r="U289" i="11"/>
  <c r="J289" i="11"/>
  <c r="H291" i="11" l="1"/>
  <c r="P290" i="11"/>
  <c r="J290" i="11"/>
  <c r="N290" i="11"/>
  <c r="K290" i="11"/>
  <c r="O290" i="11"/>
  <c r="R290" i="11"/>
  <c r="Q290" i="11"/>
  <c r="T290" i="11"/>
  <c r="L290" i="11"/>
  <c r="M290" i="11"/>
  <c r="I290" i="11"/>
  <c r="U290" i="11"/>
  <c r="S290" i="11"/>
  <c r="Q291" i="11" l="1"/>
  <c r="J291" i="11"/>
  <c r="L291" i="11"/>
  <c r="S291" i="11"/>
  <c r="U291" i="11"/>
  <c r="T291" i="11"/>
  <c r="O291" i="11"/>
  <c r="R291" i="11"/>
  <c r="K291" i="11"/>
  <c r="N291" i="11"/>
  <c r="P291" i="11"/>
  <c r="H292" i="11"/>
  <c r="M291" i="11"/>
  <c r="I291" i="11"/>
  <c r="L292" i="11" l="1"/>
  <c r="U292" i="11"/>
  <c r="S292" i="11"/>
  <c r="P292" i="11"/>
  <c r="I292" i="11"/>
  <c r="N292" i="11"/>
  <c r="O292" i="11"/>
  <c r="M292" i="11"/>
  <c r="R292" i="11"/>
  <c r="K292" i="11"/>
  <c r="Q292" i="11"/>
  <c r="H293" i="11"/>
  <c r="T292" i="11"/>
  <c r="J292" i="11"/>
  <c r="R293" i="11" l="1"/>
  <c r="S293" i="11"/>
  <c r="U293" i="11"/>
  <c r="Q293" i="11"/>
  <c r="N293" i="11"/>
  <c r="M293" i="11"/>
  <c r="O293" i="11"/>
  <c r="K293" i="11"/>
  <c r="H294" i="11"/>
  <c r="P293" i="11"/>
  <c r="T293" i="11"/>
  <c r="I293" i="11"/>
  <c r="J293" i="11"/>
  <c r="L293" i="11"/>
  <c r="O294" i="11" l="1"/>
  <c r="I294" i="11"/>
  <c r="R294" i="11"/>
  <c r="P294" i="11"/>
  <c r="K294" i="11"/>
  <c r="J294" i="11"/>
  <c r="L294" i="11"/>
  <c r="U294" i="11"/>
  <c r="T294" i="11"/>
  <c r="M294" i="11"/>
  <c r="H295" i="11"/>
  <c r="Q294" i="11"/>
  <c r="S294" i="11"/>
  <c r="N294" i="11"/>
  <c r="H296" i="11" l="1"/>
  <c r="K295" i="11"/>
  <c r="Q295" i="11"/>
  <c r="P295" i="11"/>
  <c r="R295" i="11"/>
  <c r="U295" i="11"/>
  <c r="S295" i="11"/>
  <c r="L295" i="11"/>
  <c r="M295" i="11"/>
  <c r="T295" i="11"/>
  <c r="N295" i="11"/>
  <c r="I295" i="11"/>
  <c r="J295" i="11"/>
  <c r="O295" i="11"/>
  <c r="R296" i="11" l="1"/>
  <c r="I296" i="11"/>
  <c r="S296" i="11"/>
  <c r="J296" i="11"/>
  <c r="H297" i="11"/>
  <c r="U296" i="11"/>
  <c r="N296" i="11"/>
  <c r="L296" i="11"/>
  <c r="T296" i="11"/>
  <c r="O296" i="11"/>
  <c r="K296" i="11"/>
  <c r="Q296" i="11"/>
  <c r="M296" i="11"/>
  <c r="P296" i="11"/>
  <c r="O297" i="11" l="1"/>
  <c r="T297" i="11"/>
  <c r="K297" i="11"/>
  <c r="H298" i="11"/>
  <c r="N297" i="11"/>
  <c r="R297" i="11"/>
  <c r="P297" i="11"/>
  <c r="Q297" i="11"/>
  <c r="S297" i="11"/>
  <c r="M297" i="11"/>
  <c r="I297" i="11"/>
  <c r="J297" i="11"/>
  <c r="U297" i="11"/>
  <c r="L297" i="11"/>
  <c r="K298" i="11" l="1"/>
  <c r="S298" i="11"/>
  <c r="J298" i="11"/>
  <c r="I298" i="11"/>
  <c r="P298" i="11"/>
  <c r="O298" i="11"/>
  <c r="U298" i="11"/>
  <c r="R298" i="11"/>
  <c r="M298" i="11"/>
  <c r="Q298" i="11"/>
  <c r="T298" i="11"/>
  <c r="H299" i="11"/>
  <c r="L298" i="11"/>
  <c r="N298" i="11"/>
  <c r="L299" i="11" l="1"/>
  <c r="S299" i="11"/>
  <c r="H300" i="11"/>
  <c r="N299" i="11"/>
  <c r="K299" i="11"/>
  <c r="U299" i="11"/>
  <c r="T299" i="11"/>
  <c r="J299" i="11"/>
  <c r="P299" i="11"/>
  <c r="I299" i="11"/>
  <c r="O299" i="11"/>
  <c r="M299" i="11"/>
  <c r="Q299" i="11"/>
  <c r="R299" i="11"/>
  <c r="N300" i="11" l="1"/>
  <c r="O300" i="11"/>
  <c r="S300" i="11"/>
  <c r="M300" i="11"/>
  <c r="H301" i="11"/>
  <c r="L300" i="11"/>
  <c r="J300" i="11"/>
  <c r="Q300" i="11"/>
  <c r="K300" i="11"/>
  <c r="P300" i="11"/>
  <c r="I300" i="11"/>
  <c r="U300" i="11"/>
  <c r="R300" i="11"/>
  <c r="T300" i="11"/>
  <c r="L301" i="11" l="1"/>
  <c r="P301" i="11"/>
  <c r="N301" i="11"/>
  <c r="Q301" i="11"/>
  <c r="S301" i="11"/>
  <c r="R301" i="11"/>
  <c r="T301" i="11"/>
  <c r="O301" i="11"/>
  <c r="I301" i="11"/>
  <c r="K301" i="11"/>
  <c r="M301" i="11"/>
  <c r="H302" i="11"/>
  <c r="J301" i="11"/>
  <c r="U301" i="11"/>
  <c r="H303" i="11" l="1"/>
  <c r="N302" i="11"/>
  <c r="J302" i="11"/>
  <c r="Q302" i="11"/>
  <c r="R302" i="11"/>
  <c r="S302" i="11"/>
  <c r="M302" i="11"/>
  <c r="U302" i="11"/>
  <c r="K302" i="11"/>
  <c r="P302" i="11"/>
  <c r="I302" i="11"/>
  <c r="T302" i="11"/>
  <c r="O302" i="11"/>
  <c r="L302" i="11"/>
  <c r="S303" i="11" l="1"/>
  <c r="L303" i="11"/>
  <c r="I303" i="11"/>
  <c r="U303" i="11"/>
  <c r="O303" i="11"/>
  <c r="Q303" i="11"/>
  <c r="M303" i="11"/>
  <c r="T303" i="11"/>
  <c r="K303" i="11"/>
  <c r="J303" i="11"/>
  <c r="N303" i="11"/>
  <c r="H304" i="11"/>
  <c r="R303" i="11"/>
  <c r="P303" i="11"/>
  <c r="H305" i="11" l="1"/>
  <c r="S304" i="11"/>
  <c r="R304" i="11"/>
  <c r="M304" i="11"/>
  <c r="I304" i="11"/>
  <c r="Q304" i="11"/>
  <c r="L304" i="11"/>
  <c r="O304" i="11"/>
  <c r="K304" i="11"/>
  <c r="J304" i="11"/>
  <c r="P304" i="11"/>
  <c r="N304" i="11"/>
  <c r="U304" i="11"/>
  <c r="T304" i="11"/>
  <c r="N305" i="11" l="1"/>
  <c r="M305" i="11"/>
  <c r="L305" i="11"/>
  <c r="O305" i="11"/>
  <c r="P305" i="11"/>
  <c r="R305" i="11"/>
  <c r="S305" i="11"/>
  <c r="J305" i="11"/>
  <c r="T305" i="11"/>
  <c r="K305" i="11"/>
  <c r="H306" i="11"/>
  <c r="U305" i="11"/>
  <c r="Q305" i="11"/>
  <c r="I305" i="11"/>
  <c r="J306" i="11" l="1"/>
  <c r="Q306" i="11"/>
  <c r="R306" i="11"/>
  <c r="L306" i="11"/>
  <c r="H307" i="11"/>
  <c r="K306" i="11"/>
  <c r="S306" i="11"/>
  <c r="U306" i="11"/>
  <c r="T306" i="11"/>
  <c r="M306" i="11"/>
  <c r="I306" i="11"/>
  <c r="P306" i="11"/>
  <c r="N306" i="11"/>
  <c r="O306" i="11"/>
  <c r="U307" i="11" l="1"/>
  <c r="L307" i="11"/>
  <c r="O307" i="11"/>
  <c r="H308" i="11"/>
  <c r="M307" i="11"/>
  <c r="R307" i="11"/>
  <c r="N307" i="11"/>
  <c r="P307" i="11"/>
  <c r="J307" i="11"/>
  <c r="K307" i="11"/>
  <c r="Q307" i="11"/>
  <c r="T307" i="11"/>
  <c r="I307" i="11"/>
  <c r="S307" i="11"/>
  <c r="U308" i="11" l="1"/>
  <c r="I308" i="11"/>
  <c r="R308" i="11"/>
  <c r="P308" i="11"/>
  <c r="M308" i="11"/>
  <c r="L308" i="11"/>
  <c r="T308" i="11"/>
  <c r="H309" i="11"/>
  <c r="K308" i="11"/>
  <c r="S308" i="11"/>
  <c r="Q308" i="11"/>
  <c r="J308" i="11"/>
  <c r="N308" i="11"/>
  <c r="O308" i="11"/>
  <c r="Q309" i="11" l="1"/>
  <c r="T309" i="11"/>
  <c r="P309" i="11"/>
  <c r="R309" i="11"/>
  <c r="U309" i="11"/>
  <c r="J309" i="11"/>
  <c r="K309" i="11"/>
  <c r="N309" i="11"/>
  <c r="O309" i="11"/>
  <c r="L309" i="11"/>
  <c r="S309" i="11"/>
  <c r="H310" i="11"/>
  <c r="M309" i="11"/>
  <c r="I309" i="11"/>
  <c r="O310" i="11" l="1"/>
  <c r="M310" i="11"/>
  <c r="I310" i="11"/>
  <c r="L310" i="11"/>
  <c r="Q310" i="11"/>
  <c r="J310" i="11"/>
  <c r="U310" i="11"/>
  <c r="H311" i="11"/>
  <c r="P310" i="11"/>
  <c r="S310" i="11"/>
  <c r="T310" i="11"/>
  <c r="R310" i="11"/>
  <c r="K310" i="11"/>
  <c r="N310" i="11"/>
  <c r="S311" i="11" l="1"/>
  <c r="J311" i="11"/>
  <c r="R311" i="11"/>
  <c r="N311" i="11"/>
  <c r="I311" i="11"/>
  <c r="T311" i="11"/>
  <c r="Q311" i="11"/>
  <c r="O311" i="11"/>
  <c r="H312" i="11"/>
  <c r="K311" i="11"/>
  <c r="L311" i="11"/>
  <c r="M311" i="11"/>
  <c r="U311" i="11"/>
  <c r="P311" i="11"/>
  <c r="J312" i="11" l="1"/>
  <c r="R312" i="11"/>
  <c r="S312" i="11"/>
  <c r="L312" i="11"/>
  <c r="I312" i="11"/>
  <c r="Q312" i="11"/>
  <c r="N312" i="11"/>
  <c r="T312" i="11"/>
  <c r="H313" i="11"/>
  <c r="O312" i="11"/>
  <c r="U312" i="11"/>
  <c r="M312" i="11"/>
  <c r="K312" i="11"/>
  <c r="P312" i="11"/>
  <c r="J313" i="11" l="1"/>
  <c r="H314" i="11"/>
  <c r="I313" i="11"/>
  <c r="M313" i="11"/>
  <c r="R313" i="11"/>
  <c r="T313" i="11"/>
  <c r="N313" i="11"/>
  <c r="L313" i="11"/>
  <c r="S313" i="11"/>
  <c r="K313" i="11"/>
  <c r="U313" i="11"/>
  <c r="P313" i="11"/>
  <c r="O313" i="11"/>
  <c r="Q313" i="11"/>
  <c r="H315" i="11" l="1"/>
  <c r="P314" i="11"/>
  <c r="N314" i="11"/>
  <c r="M314" i="11"/>
  <c r="U314" i="11"/>
  <c r="K314" i="11"/>
  <c r="Q314" i="11"/>
  <c r="T314" i="11"/>
  <c r="S314" i="11"/>
  <c r="I314" i="11"/>
  <c r="L314" i="11"/>
  <c r="J314" i="11"/>
  <c r="O314" i="11"/>
  <c r="R314" i="11"/>
  <c r="N315" i="11" l="1"/>
  <c r="J315" i="11"/>
  <c r="O315" i="11"/>
  <c r="T315" i="11"/>
  <c r="K315" i="11"/>
  <c r="R315" i="11"/>
  <c r="H316" i="11"/>
  <c r="U315" i="11"/>
  <c r="L315" i="11"/>
  <c r="Q315" i="11"/>
  <c r="S315" i="11"/>
  <c r="I315" i="11"/>
  <c r="P315" i="11"/>
  <c r="M315" i="11"/>
  <c r="H317" i="11" l="1"/>
  <c r="U316" i="11"/>
  <c r="P316" i="11"/>
  <c r="J316" i="11"/>
  <c r="T316" i="11"/>
  <c r="S316" i="11"/>
  <c r="M316" i="11"/>
  <c r="Q316" i="11"/>
  <c r="R316" i="11"/>
  <c r="O316" i="11"/>
  <c r="K316" i="11"/>
  <c r="N316" i="11"/>
  <c r="L316" i="11"/>
  <c r="I316" i="11"/>
  <c r="M317" i="11" l="1"/>
  <c r="R317" i="11"/>
  <c r="J317" i="11"/>
  <c r="U317" i="11"/>
  <c r="K317" i="11"/>
  <c r="I317" i="11"/>
  <c r="N317" i="11"/>
  <c r="L317" i="11"/>
  <c r="Q317" i="11"/>
  <c r="T317" i="11"/>
  <c r="H318" i="11"/>
  <c r="S317" i="11"/>
  <c r="O317" i="11"/>
  <c r="P317" i="11"/>
  <c r="U318" i="11" l="1"/>
  <c r="N318" i="11"/>
  <c r="J318" i="11"/>
  <c r="R318" i="11"/>
  <c r="K318" i="11"/>
  <c r="L318" i="11"/>
  <c r="I318" i="11"/>
  <c r="S318" i="11"/>
  <c r="P318" i="11"/>
  <c r="O318" i="11"/>
  <c r="H319" i="11"/>
  <c r="M318" i="11"/>
  <c r="T318" i="11"/>
  <c r="Q318" i="11"/>
  <c r="L319" i="11" l="1"/>
  <c r="O319" i="11"/>
  <c r="T319" i="11"/>
  <c r="U319" i="11"/>
  <c r="Q319" i="11"/>
  <c r="I319" i="11"/>
  <c r="M319" i="11"/>
  <c r="P319" i="11"/>
  <c r="K319" i="11"/>
  <c r="J319" i="11"/>
  <c r="S319" i="11"/>
  <c r="R319" i="11"/>
  <c r="N319" i="11"/>
  <c r="H320" i="11"/>
  <c r="T320" i="11" l="1"/>
  <c r="N320" i="11"/>
  <c r="P320" i="11"/>
  <c r="R320" i="11"/>
  <c r="U320" i="11"/>
  <c r="O320" i="11"/>
  <c r="S320" i="11"/>
  <c r="Q320" i="11"/>
  <c r="J320" i="11"/>
  <c r="H321" i="11"/>
  <c r="L320" i="11"/>
  <c r="K320" i="11"/>
  <c r="M320" i="11"/>
  <c r="I320" i="11"/>
  <c r="L321" i="11" l="1"/>
  <c r="H322" i="11"/>
  <c r="R321" i="11"/>
  <c r="M321" i="11"/>
  <c r="S321" i="11"/>
  <c r="N321" i="11"/>
  <c r="I321" i="11"/>
  <c r="O321" i="11"/>
  <c r="U321" i="11"/>
  <c r="P321" i="11"/>
  <c r="K321" i="11"/>
  <c r="T321" i="11"/>
  <c r="J321" i="11"/>
  <c r="Q321" i="11"/>
  <c r="O322" i="11" l="1"/>
  <c r="N322" i="11"/>
  <c r="R322" i="11"/>
  <c r="H323" i="11"/>
  <c r="S322" i="11"/>
  <c r="M322" i="11"/>
  <c r="K322" i="11"/>
  <c r="J322" i="11"/>
  <c r="P322" i="11"/>
  <c r="T322" i="11"/>
  <c r="U322" i="11"/>
  <c r="Q322" i="11"/>
  <c r="L322" i="11"/>
  <c r="I322" i="11"/>
  <c r="K323" i="11" l="1"/>
  <c r="U323" i="11"/>
  <c r="R323" i="11"/>
  <c r="L323" i="11"/>
  <c r="O323" i="11"/>
  <c r="N323" i="11"/>
  <c r="T323" i="11"/>
  <c r="Q323" i="11"/>
  <c r="P323" i="11"/>
  <c r="J323" i="11"/>
  <c r="I323" i="11"/>
  <c r="M323" i="11"/>
  <c r="S323" i="11"/>
  <c r="H324" i="11"/>
  <c r="U324" i="11" l="1"/>
  <c r="H325" i="11"/>
  <c r="M324" i="11"/>
  <c r="K324" i="11"/>
  <c r="J324" i="11"/>
  <c r="S324" i="11"/>
  <c r="Q324" i="11"/>
  <c r="N324" i="11"/>
  <c r="T324" i="11"/>
  <c r="I324" i="11"/>
  <c r="R324" i="11"/>
  <c r="O324" i="11"/>
  <c r="L324" i="11"/>
  <c r="P324" i="11"/>
  <c r="T325" i="11" l="1"/>
  <c r="J325" i="11"/>
  <c r="K325" i="11"/>
  <c r="N325" i="11"/>
  <c r="S325" i="11"/>
  <c r="I325" i="11"/>
  <c r="U325" i="11"/>
  <c r="Q325" i="11"/>
  <c r="M325" i="11"/>
  <c r="R325" i="11"/>
  <c r="P325" i="11"/>
  <c r="O325" i="11"/>
  <c r="L325" i="11"/>
  <c r="H326" i="11"/>
  <c r="O326" i="11" l="1"/>
  <c r="R326" i="11"/>
  <c r="J326" i="11"/>
  <c r="L326" i="11"/>
  <c r="I326" i="11"/>
  <c r="H327" i="11"/>
  <c r="K326" i="11"/>
  <c r="Q326" i="11"/>
  <c r="N326" i="11"/>
  <c r="P326" i="11"/>
  <c r="U326" i="11"/>
  <c r="S326" i="11"/>
  <c r="M326" i="11"/>
  <c r="T326" i="11"/>
  <c r="U327" i="11" l="1"/>
  <c r="H328" i="11"/>
  <c r="O327" i="11"/>
  <c r="T327" i="11"/>
  <c r="Q327" i="11"/>
  <c r="L327" i="11"/>
  <c r="N327" i="11"/>
  <c r="R327" i="11"/>
  <c r="K327" i="11"/>
  <c r="I327" i="11"/>
  <c r="S327" i="11"/>
  <c r="M327" i="11"/>
  <c r="J327" i="11"/>
  <c r="P327" i="11"/>
  <c r="L328" i="11" l="1"/>
  <c r="P328" i="11"/>
  <c r="U328" i="11"/>
  <c r="K328" i="11"/>
  <c r="S328" i="11"/>
  <c r="N328" i="11"/>
  <c r="T328" i="11"/>
  <c r="R328" i="11"/>
  <c r="J328" i="11"/>
  <c r="Q328" i="11"/>
  <c r="M328" i="11"/>
  <c r="I328" i="11"/>
  <c r="H329" i="11"/>
  <c r="O328" i="11"/>
  <c r="Q329" i="11" l="1"/>
  <c r="R329" i="11"/>
  <c r="H330" i="11"/>
  <c r="L329" i="11"/>
  <c r="S329" i="11"/>
  <c r="U329" i="11"/>
  <c r="I329" i="11"/>
  <c r="P329" i="11"/>
  <c r="T329" i="11"/>
  <c r="O329" i="11"/>
  <c r="M329" i="11"/>
  <c r="K329" i="11"/>
  <c r="N329" i="11"/>
  <c r="J329" i="11"/>
  <c r="U330" i="11" l="1"/>
  <c r="T330" i="11"/>
  <c r="P330" i="11"/>
  <c r="S330" i="11"/>
  <c r="O330" i="11"/>
  <c r="H331" i="11"/>
  <c r="K330" i="11"/>
  <c r="I330" i="11"/>
  <c r="M330" i="11"/>
  <c r="R330" i="11"/>
  <c r="Q330" i="11"/>
  <c r="J330" i="11"/>
  <c r="L330" i="11"/>
  <c r="N330" i="11"/>
  <c r="O331" i="11" l="1"/>
  <c r="R331" i="11"/>
  <c r="H332" i="11"/>
  <c r="T331" i="11"/>
  <c r="N331" i="11"/>
  <c r="S331" i="11"/>
  <c r="J331" i="11"/>
  <c r="P331" i="11"/>
  <c r="K331" i="11"/>
  <c r="U331" i="11"/>
  <c r="I331" i="11"/>
  <c r="Q331" i="11"/>
  <c r="M331" i="11"/>
  <c r="L331" i="11"/>
  <c r="K332" i="11" l="1"/>
  <c r="P332" i="11"/>
  <c r="U332" i="11"/>
  <c r="M332" i="11"/>
  <c r="T332" i="11"/>
  <c r="R332" i="11"/>
  <c r="I332" i="11"/>
  <c r="O332" i="11"/>
  <c r="J332" i="11"/>
  <c r="L332" i="11"/>
  <c r="S332" i="11"/>
  <c r="H333" i="11"/>
  <c r="Q332" i="11"/>
  <c r="N332" i="11"/>
  <c r="P333" i="11" l="1"/>
  <c r="R333" i="11"/>
  <c r="O333" i="11"/>
  <c r="N333" i="11"/>
  <c r="I333" i="11"/>
  <c r="H334" i="11"/>
  <c r="K333" i="11"/>
  <c r="L333" i="11"/>
  <c r="T333" i="11"/>
  <c r="U333" i="11"/>
  <c r="S333" i="11"/>
  <c r="M333" i="11"/>
  <c r="Q333" i="11"/>
  <c r="J333" i="11"/>
  <c r="K334" i="11" l="1"/>
  <c r="O334" i="11"/>
  <c r="R334" i="11"/>
  <c r="H335" i="11"/>
  <c r="U334" i="11"/>
  <c r="N334" i="11"/>
  <c r="J334" i="11"/>
  <c r="S334" i="11"/>
  <c r="L334" i="11"/>
  <c r="P334" i="11"/>
  <c r="T334" i="11"/>
  <c r="M334" i="11"/>
  <c r="I334" i="11"/>
  <c r="Q334" i="11"/>
  <c r="J335" i="11" l="1"/>
  <c r="K335" i="11"/>
  <c r="N335" i="11"/>
  <c r="I335" i="11"/>
  <c r="S335" i="11"/>
  <c r="L335" i="11"/>
  <c r="Q335" i="11"/>
  <c r="H336" i="11"/>
  <c r="O335" i="11"/>
  <c r="M335" i="11"/>
  <c r="T335" i="11"/>
  <c r="R335" i="11"/>
  <c r="P335" i="11"/>
  <c r="U335" i="11"/>
  <c r="Q336" i="11" l="1"/>
  <c r="L336" i="11"/>
  <c r="T336" i="11"/>
  <c r="S336" i="11"/>
  <c r="O336" i="11"/>
  <c r="I336" i="11"/>
  <c r="N336" i="11"/>
  <c r="H337" i="11"/>
  <c r="K336" i="11"/>
  <c r="M336" i="11"/>
  <c r="J336" i="11"/>
  <c r="P336" i="11"/>
  <c r="R336" i="11"/>
  <c r="U336" i="11"/>
  <c r="H338" i="11" l="1"/>
  <c r="M337" i="11"/>
  <c r="L337" i="11"/>
  <c r="Q337" i="11"/>
  <c r="J337" i="11"/>
  <c r="O337" i="11"/>
  <c r="I337" i="11"/>
  <c r="S337" i="11"/>
  <c r="K337" i="11"/>
  <c r="T337" i="11"/>
  <c r="R337" i="11"/>
  <c r="N337" i="11"/>
  <c r="U337" i="11"/>
  <c r="P337" i="11"/>
  <c r="P338" i="11" l="1"/>
  <c r="K338" i="11"/>
  <c r="S338" i="11"/>
  <c r="J338" i="11"/>
  <c r="M338" i="11"/>
  <c r="O338" i="11"/>
  <c r="R338" i="11"/>
  <c r="N338" i="11"/>
  <c r="I338" i="11"/>
  <c r="Q338" i="11"/>
  <c r="L338" i="11"/>
  <c r="U338" i="11"/>
  <c r="T338" i="11"/>
  <c r="H339" i="11"/>
  <c r="H340" i="11" l="1"/>
  <c r="N339" i="11"/>
  <c r="I339" i="11"/>
  <c r="L339" i="11"/>
  <c r="O339" i="11"/>
  <c r="M339" i="11"/>
  <c r="J339" i="11"/>
  <c r="Q339" i="11"/>
  <c r="K339" i="11"/>
  <c r="S339" i="11"/>
  <c r="P339" i="11"/>
  <c r="T339" i="11"/>
  <c r="U339" i="11"/>
  <c r="R339" i="11"/>
  <c r="Q340" i="11" l="1"/>
  <c r="M340" i="11"/>
  <c r="L340" i="11"/>
  <c r="P340" i="11"/>
  <c r="O340" i="11"/>
  <c r="U340" i="11"/>
  <c r="N340" i="11"/>
  <c r="H341" i="11"/>
  <c r="K340" i="11"/>
  <c r="R340" i="11"/>
  <c r="I340" i="11"/>
  <c r="T340" i="11"/>
  <c r="J340" i="11"/>
  <c r="S340" i="11"/>
  <c r="L341" i="11" l="1"/>
  <c r="K341" i="11"/>
  <c r="T341" i="11"/>
  <c r="O341" i="11"/>
  <c r="U341" i="11"/>
  <c r="Q341" i="11"/>
  <c r="J341" i="11"/>
  <c r="R341" i="11"/>
  <c r="I341" i="11"/>
  <c r="H342" i="11"/>
  <c r="N341" i="11"/>
  <c r="P341" i="11"/>
  <c r="S341" i="11"/>
  <c r="M341" i="11"/>
  <c r="I342" i="11" l="1"/>
  <c r="S342" i="11"/>
  <c r="M342" i="11"/>
  <c r="K342" i="11"/>
  <c r="J342" i="11"/>
  <c r="T342" i="11"/>
  <c r="O342" i="11"/>
  <c r="H343" i="11"/>
  <c r="P342" i="11"/>
  <c r="R342" i="11"/>
  <c r="L342" i="11"/>
  <c r="Q342" i="11"/>
  <c r="N342" i="11"/>
  <c r="U342" i="11"/>
  <c r="M343" i="11" l="1"/>
  <c r="T343" i="11"/>
  <c r="O343" i="11"/>
  <c r="S343" i="11"/>
  <c r="I343" i="11"/>
  <c r="K343" i="11"/>
  <c r="L343" i="11"/>
  <c r="P343" i="11"/>
  <c r="U343" i="11"/>
  <c r="Q343" i="11"/>
  <c r="J343" i="11"/>
  <c r="R343" i="11"/>
  <c r="N343" i="11"/>
  <c r="H344" i="11"/>
  <c r="I344" i="11" l="1"/>
  <c r="H345" i="11"/>
  <c r="O344" i="11"/>
  <c r="L344" i="11"/>
  <c r="J344" i="11"/>
  <c r="N344" i="11"/>
  <c r="K344" i="11"/>
  <c r="S344" i="11"/>
  <c r="R344" i="11"/>
  <c r="P344" i="11"/>
  <c r="T344" i="11"/>
  <c r="U344" i="11"/>
  <c r="M344" i="11"/>
  <c r="Q344" i="11"/>
  <c r="Q345" i="11" l="1"/>
  <c r="S345" i="11"/>
  <c r="P345" i="11"/>
  <c r="U345" i="11"/>
  <c r="T345" i="11"/>
  <c r="H346" i="11"/>
  <c r="L345" i="11"/>
  <c r="M345" i="11"/>
  <c r="J345" i="11"/>
  <c r="N345" i="11"/>
  <c r="O345" i="11"/>
  <c r="K345" i="11"/>
  <c r="R345" i="11"/>
  <c r="I345" i="11"/>
  <c r="L346" i="11" l="1"/>
  <c r="H347" i="11"/>
  <c r="N346" i="11"/>
  <c r="K346" i="11"/>
  <c r="T346" i="11"/>
  <c r="O346" i="11"/>
  <c r="P346" i="11"/>
  <c r="Q346" i="11"/>
  <c r="I346" i="11"/>
  <c r="U346" i="11"/>
  <c r="R346" i="11"/>
  <c r="J346" i="11"/>
  <c r="M346" i="11"/>
  <c r="S346" i="11"/>
  <c r="T347" i="11" l="1"/>
  <c r="U347" i="11"/>
  <c r="H348" i="11"/>
  <c r="S347" i="11"/>
  <c r="P347" i="11"/>
  <c r="R347" i="11"/>
  <c r="K347" i="11"/>
  <c r="N347" i="11"/>
  <c r="J347" i="11"/>
  <c r="O347" i="11"/>
  <c r="I347" i="11"/>
  <c r="Q347" i="11"/>
  <c r="L347" i="11"/>
  <c r="M347" i="11"/>
  <c r="N348" i="11" l="1"/>
  <c r="R348" i="11"/>
  <c r="M348" i="11"/>
  <c r="U348" i="11"/>
  <c r="T348" i="11"/>
  <c r="L348" i="11"/>
  <c r="I348" i="11"/>
  <c r="J348" i="11"/>
  <c r="O348" i="11"/>
  <c r="Q348" i="11"/>
  <c r="H349" i="11"/>
  <c r="K348" i="11"/>
  <c r="S348" i="11"/>
  <c r="P348" i="11"/>
  <c r="I349" i="11" l="1"/>
  <c r="U349" i="11"/>
  <c r="T349" i="11"/>
  <c r="M349" i="11"/>
  <c r="Q349" i="11"/>
  <c r="P349" i="11"/>
  <c r="S349" i="11"/>
  <c r="O349" i="11"/>
  <c r="L349" i="11"/>
  <c r="J349" i="11"/>
  <c r="H350" i="11"/>
  <c r="N349" i="11"/>
  <c r="K349" i="11"/>
  <c r="R349" i="11"/>
  <c r="K350" i="11" l="1"/>
  <c r="T350" i="11"/>
  <c r="U350" i="11"/>
  <c r="N350" i="11"/>
  <c r="R350" i="11"/>
  <c r="I350" i="11"/>
  <c r="P350" i="11"/>
  <c r="O350" i="11"/>
  <c r="S350" i="11"/>
  <c r="M350" i="11"/>
  <c r="L350" i="11"/>
  <c r="H351" i="11"/>
  <c r="Q350" i="11"/>
  <c r="J350" i="11"/>
  <c r="I351" i="11" l="1"/>
  <c r="P351" i="11"/>
  <c r="R351" i="11"/>
  <c r="T351" i="11"/>
  <c r="Q351" i="11"/>
  <c r="H352" i="11"/>
  <c r="M351" i="11"/>
  <c r="J351" i="11"/>
  <c r="O351" i="11"/>
  <c r="U351" i="11"/>
  <c r="S351" i="11"/>
  <c r="K351" i="11"/>
  <c r="L351" i="11"/>
  <c r="N351" i="11"/>
  <c r="T352" i="11" l="1"/>
  <c r="N352" i="11"/>
  <c r="O352" i="11"/>
  <c r="U352" i="11"/>
  <c r="L352" i="11"/>
  <c r="S352" i="11"/>
  <c r="H353" i="11"/>
  <c r="P352" i="11"/>
  <c r="R352" i="11"/>
  <c r="K352" i="11"/>
  <c r="J352" i="11"/>
  <c r="I352" i="11"/>
  <c r="Q352" i="11"/>
  <c r="M352" i="11"/>
  <c r="I353" i="11" l="1"/>
  <c r="L353" i="11"/>
  <c r="P353" i="11"/>
  <c r="T353" i="11"/>
  <c r="H354" i="11"/>
  <c r="K353" i="11"/>
  <c r="U353" i="11"/>
  <c r="O353" i="11"/>
  <c r="S353" i="11"/>
  <c r="Q353" i="11"/>
  <c r="J353" i="11"/>
  <c r="M353" i="11"/>
  <c r="N353" i="11"/>
  <c r="R353" i="11"/>
  <c r="N354" i="11" l="1"/>
  <c r="Q354" i="11"/>
  <c r="T354" i="11"/>
  <c r="S354" i="11"/>
  <c r="H355" i="11"/>
  <c r="U354" i="11"/>
  <c r="M354" i="11"/>
  <c r="P354" i="11"/>
  <c r="R354" i="11"/>
  <c r="L354" i="11"/>
  <c r="J354" i="11"/>
  <c r="K354" i="11"/>
  <c r="O354" i="11"/>
  <c r="I354" i="11"/>
  <c r="O355" i="11" l="1"/>
  <c r="R355" i="11"/>
  <c r="I355" i="11"/>
  <c r="K355" i="11"/>
  <c r="N355" i="11"/>
  <c r="L355" i="11"/>
  <c r="U355" i="11"/>
  <c r="M355" i="11"/>
  <c r="T355" i="11"/>
  <c r="Q355" i="11"/>
  <c r="P355" i="11"/>
  <c r="J355" i="11"/>
  <c r="H356" i="11"/>
  <c r="S355" i="11"/>
  <c r="L356" i="11" l="1"/>
  <c r="H357" i="11"/>
  <c r="M356" i="11"/>
  <c r="S356" i="11"/>
  <c r="K356" i="11"/>
  <c r="J356" i="11"/>
  <c r="I356" i="11"/>
  <c r="Q356" i="11"/>
  <c r="T356" i="11"/>
  <c r="R356" i="11"/>
  <c r="P356" i="11"/>
  <c r="N356" i="11"/>
  <c r="O356" i="11"/>
  <c r="U356" i="11"/>
  <c r="R357" i="11" l="1"/>
  <c r="M357" i="11"/>
  <c r="I357" i="11"/>
  <c r="T357" i="11"/>
  <c r="U357" i="11"/>
  <c r="J357" i="11"/>
  <c r="P357" i="11"/>
  <c r="S357" i="11"/>
  <c r="K357" i="11"/>
  <c r="N357" i="11"/>
  <c r="Q357" i="11"/>
  <c r="H358" i="11"/>
  <c r="L357" i="11"/>
  <c r="O357" i="11"/>
  <c r="U358" i="11" l="1"/>
  <c r="N358" i="11"/>
  <c r="K358" i="11"/>
  <c r="O358" i="11"/>
  <c r="S358" i="11"/>
  <c r="L358" i="11"/>
  <c r="I358" i="11"/>
  <c r="T358" i="11"/>
  <c r="Q358" i="11"/>
  <c r="P358" i="11"/>
  <c r="H359" i="11"/>
  <c r="R358" i="11"/>
  <c r="J358" i="11"/>
  <c r="M358" i="11"/>
  <c r="Q359" i="11" l="1"/>
  <c r="H360" i="11"/>
  <c r="S359" i="11"/>
  <c r="J359" i="11"/>
  <c r="L359" i="11"/>
  <c r="T359" i="11"/>
  <c r="M359" i="11"/>
  <c r="U359" i="11"/>
  <c r="K359" i="11"/>
  <c r="I359" i="11"/>
  <c r="N359" i="11"/>
  <c r="O359" i="11"/>
  <c r="P359" i="11"/>
  <c r="R359" i="11"/>
  <c r="K360" i="11" l="1"/>
  <c r="I360" i="11"/>
  <c r="S360" i="11"/>
  <c r="U360" i="11"/>
  <c r="Q360" i="11"/>
  <c r="M360" i="11"/>
  <c r="P360" i="11"/>
  <c r="N360" i="11"/>
  <c r="O360" i="11"/>
  <c r="R360" i="11"/>
  <c r="H361" i="11"/>
  <c r="T360" i="11"/>
  <c r="J360" i="11"/>
  <c r="L360" i="11"/>
  <c r="T361" i="11" l="1"/>
  <c r="H362" i="11"/>
  <c r="S361" i="11"/>
  <c r="K361" i="11"/>
  <c r="U361" i="11"/>
  <c r="M361" i="11"/>
  <c r="N361" i="11"/>
  <c r="R361" i="11"/>
  <c r="L361" i="11"/>
  <c r="Q361" i="11"/>
  <c r="O361" i="11"/>
  <c r="P361" i="11"/>
  <c r="J361" i="11"/>
  <c r="I361" i="11"/>
  <c r="M362" i="11" l="1"/>
  <c r="T362" i="11"/>
  <c r="P362" i="11"/>
  <c r="L362" i="11"/>
  <c r="H363" i="11"/>
  <c r="S362" i="11"/>
  <c r="Q362" i="11"/>
  <c r="O362" i="11"/>
  <c r="K362" i="11"/>
  <c r="N362" i="11"/>
  <c r="J362" i="11"/>
  <c r="I362" i="11"/>
  <c r="U362" i="11"/>
  <c r="R362" i="11"/>
  <c r="R363" i="11" l="1"/>
  <c r="O363" i="11"/>
  <c r="H364" i="11"/>
  <c r="M363" i="11"/>
  <c r="T363" i="11"/>
  <c r="N363" i="11"/>
  <c r="J363" i="11"/>
  <c r="Q363" i="11"/>
  <c r="I363" i="11"/>
  <c r="U363" i="11"/>
  <c r="L363" i="11"/>
  <c r="K363" i="11"/>
  <c r="S363" i="11"/>
  <c r="P363" i="11"/>
  <c r="J364" i="11" l="1"/>
  <c r="Q364" i="11"/>
  <c r="I364" i="11"/>
  <c r="O364" i="11"/>
  <c r="S364" i="11"/>
  <c r="N364" i="11"/>
  <c r="L364" i="11"/>
  <c r="K364" i="11"/>
  <c r="R364" i="11"/>
  <c r="U364" i="11"/>
  <c r="H365" i="11"/>
  <c r="T364" i="11"/>
  <c r="M364" i="11"/>
  <c r="P364" i="11"/>
  <c r="I365" i="11" l="1"/>
  <c r="H366" i="11"/>
  <c r="O365" i="11"/>
  <c r="K365" i="11"/>
  <c r="Q365" i="11"/>
  <c r="L365" i="11"/>
  <c r="R365" i="11"/>
  <c r="N365" i="11"/>
  <c r="P365" i="11"/>
  <c r="M365" i="11"/>
  <c r="T365" i="11"/>
  <c r="S365" i="11"/>
  <c r="U365" i="11"/>
  <c r="J365" i="11"/>
  <c r="T366" i="11" l="1"/>
  <c r="N366" i="11"/>
  <c r="S366" i="11"/>
  <c r="K366" i="11"/>
  <c r="M366" i="11"/>
  <c r="Q366" i="11"/>
  <c r="I366" i="11"/>
  <c r="H367" i="11"/>
  <c r="L366" i="11"/>
  <c r="O366" i="11"/>
  <c r="R366" i="11"/>
  <c r="J366" i="11"/>
  <c r="U366" i="11"/>
  <c r="P366" i="11"/>
  <c r="I367" i="11" l="1"/>
  <c r="R367" i="11"/>
  <c r="O367" i="11"/>
  <c r="U367" i="11"/>
  <c r="S367" i="11"/>
  <c r="T367" i="11"/>
  <c r="M367" i="11"/>
  <c r="N367" i="11"/>
  <c r="J367" i="11"/>
  <c r="K367" i="11"/>
  <c r="H368" i="11"/>
  <c r="P367" i="11"/>
  <c r="Q367" i="11"/>
  <c r="L367" i="11"/>
  <c r="H369" i="11" l="1"/>
  <c r="M368" i="11"/>
  <c r="S368" i="11"/>
  <c r="P368" i="11"/>
  <c r="I368" i="11"/>
  <c r="N368" i="11"/>
  <c r="L368" i="11"/>
  <c r="O368" i="11"/>
  <c r="T368" i="11"/>
  <c r="J368" i="11"/>
  <c r="R368" i="11"/>
  <c r="U368" i="11"/>
  <c r="K368" i="11"/>
  <c r="Q368" i="11"/>
  <c r="U369" i="11" l="1"/>
  <c r="I369" i="11"/>
  <c r="L369" i="11"/>
  <c r="K369" i="11"/>
  <c r="P369" i="11"/>
  <c r="M369" i="11"/>
  <c r="O369" i="11"/>
  <c r="T369" i="11"/>
  <c r="R369" i="11"/>
  <c r="H370" i="11"/>
  <c r="N369" i="11"/>
  <c r="J369" i="11"/>
  <c r="Q369" i="11"/>
  <c r="S369" i="11"/>
  <c r="R370" i="11" l="1"/>
  <c r="O370" i="11"/>
  <c r="I370" i="11"/>
  <c r="S370" i="11"/>
  <c r="N370" i="11"/>
  <c r="M370" i="11"/>
  <c r="P370" i="11"/>
  <c r="K370" i="11"/>
  <c r="J370" i="11"/>
  <c r="H371" i="11"/>
  <c r="U370" i="11"/>
  <c r="L370" i="11"/>
  <c r="T370" i="11"/>
  <c r="Q370" i="11"/>
  <c r="T371" i="11" l="1"/>
  <c r="K371" i="11"/>
  <c r="L371" i="11"/>
  <c r="O371" i="11"/>
  <c r="Q371" i="11"/>
  <c r="N371" i="11"/>
  <c r="H372" i="11"/>
  <c r="P371" i="11"/>
  <c r="J371" i="11"/>
  <c r="S371" i="11"/>
  <c r="R371" i="11"/>
  <c r="M371" i="11"/>
  <c r="U371" i="11"/>
  <c r="I371" i="11"/>
  <c r="M372" i="11" l="1"/>
  <c r="N372" i="11"/>
  <c r="H373" i="11"/>
  <c r="R372" i="11"/>
  <c r="L372" i="11"/>
  <c r="O372" i="11"/>
  <c r="Q372" i="11"/>
  <c r="S372" i="11"/>
  <c r="P372" i="11"/>
  <c r="T372" i="11"/>
  <c r="I372" i="11"/>
  <c r="U372" i="11"/>
  <c r="K372" i="11"/>
  <c r="J372" i="11"/>
  <c r="K373" i="11" l="1"/>
  <c r="U373" i="11"/>
  <c r="R373" i="11"/>
  <c r="H374" i="11"/>
  <c r="N373" i="11"/>
  <c r="M373" i="11"/>
  <c r="O373" i="11"/>
  <c r="L373" i="11"/>
  <c r="J373" i="11"/>
  <c r="S373" i="11"/>
  <c r="I373" i="11"/>
  <c r="P373" i="11"/>
  <c r="T373" i="11"/>
  <c r="Q373" i="11"/>
  <c r="S374" i="11" l="1"/>
  <c r="I374" i="11"/>
  <c r="U374" i="11"/>
  <c r="Q374" i="11"/>
  <c r="R374" i="11"/>
  <c r="P374" i="11"/>
  <c r="H375" i="11"/>
  <c r="J374" i="11"/>
  <c r="N374" i="11"/>
  <c r="K374" i="11"/>
  <c r="O374" i="11"/>
  <c r="L374" i="11"/>
  <c r="T374" i="11"/>
  <c r="M374" i="11"/>
  <c r="N375" i="11" l="1"/>
  <c r="P375" i="11"/>
  <c r="I375" i="11"/>
  <c r="O375" i="11"/>
  <c r="J375" i="11"/>
  <c r="M375" i="11"/>
  <c r="U375" i="11"/>
  <c r="K375" i="11"/>
  <c r="H376" i="11"/>
  <c r="Q375" i="11"/>
  <c r="R375" i="11"/>
  <c r="S375" i="11"/>
  <c r="L375" i="11"/>
  <c r="T375" i="11"/>
  <c r="L376" i="11" l="1"/>
  <c r="Q376" i="11"/>
  <c r="S376" i="11"/>
  <c r="H377" i="11"/>
  <c r="T376" i="11"/>
  <c r="P376" i="11"/>
  <c r="I376" i="11"/>
  <c r="M376" i="11"/>
  <c r="O376" i="11"/>
  <c r="U376" i="11"/>
  <c r="J376" i="11"/>
  <c r="K376" i="11"/>
  <c r="N376" i="11"/>
  <c r="R376" i="11"/>
  <c r="M377" i="11" l="1"/>
  <c r="L377" i="11"/>
  <c r="N377" i="11"/>
  <c r="K377" i="11"/>
  <c r="U377" i="11"/>
  <c r="I377" i="11"/>
  <c r="O377" i="11"/>
  <c r="Q377" i="11"/>
  <c r="H378" i="11"/>
  <c r="R377" i="11"/>
  <c r="T377" i="11"/>
  <c r="P377" i="11"/>
  <c r="S377" i="11"/>
  <c r="J377" i="11"/>
  <c r="U378" i="11" l="1"/>
  <c r="T378" i="11"/>
  <c r="I378" i="11"/>
  <c r="H379" i="11"/>
  <c r="K378" i="11"/>
  <c r="S378" i="11"/>
  <c r="P378" i="11"/>
  <c r="O378" i="11"/>
  <c r="M378" i="11"/>
  <c r="J378" i="11"/>
  <c r="Q378" i="11"/>
  <c r="R378" i="11"/>
  <c r="N378" i="11"/>
  <c r="L378" i="11"/>
  <c r="H380" i="11" l="1"/>
  <c r="N379" i="11"/>
  <c r="J379" i="11"/>
  <c r="K379" i="11"/>
  <c r="L379" i="11"/>
  <c r="O379" i="11"/>
  <c r="T379" i="11"/>
  <c r="I379" i="11"/>
  <c r="S379" i="11"/>
  <c r="M379" i="11"/>
  <c r="P379" i="11"/>
  <c r="R379" i="11"/>
  <c r="Q379" i="11"/>
  <c r="U379" i="11"/>
  <c r="U380" i="11" l="1"/>
  <c r="T380" i="11"/>
  <c r="N380" i="11"/>
  <c r="Q380" i="11"/>
  <c r="R380" i="11"/>
  <c r="S380" i="11"/>
  <c r="L380" i="11"/>
  <c r="P380" i="11"/>
  <c r="M380" i="11"/>
  <c r="O380" i="11"/>
  <c r="J380" i="11"/>
  <c r="H381" i="11"/>
  <c r="I380" i="11"/>
  <c r="K380" i="11"/>
  <c r="L381" i="11" l="1"/>
  <c r="M381" i="11"/>
  <c r="N381" i="11"/>
  <c r="R381" i="11"/>
  <c r="T381" i="11"/>
  <c r="P381" i="11"/>
  <c r="S381" i="11"/>
  <c r="J381" i="11"/>
  <c r="I381" i="11"/>
  <c r="K381" i="11"/>
  <c r="Q381" i="11"/>
  <c r="H382" i="11"/>
  <c r="U381" i="11"/>
  <c r="O381" i="11"/>
  <c r="U382" i="11" l="1"/>
  <c r="R382" i="11"/>
  <c r="P382" i="11"/>
  <c r="S382" i="11"/>
  <c r="K382" i="11"/>
  <c r="H383" i="11"/>
  <c r="M382" i="11"/>
  <c r="I382" i="11"/>
  <c r="Q382" i="11"/>
  <c r="O382" i="11"/>
  <c r="J382" i="11"/>
  <c r="T382" i="11"/>
  <c r="L382" i="11"/>
  <c r="N382" i="11"/>
  <c r="R383" i="11" l="1"/>
  <c r="N383" i="11"/>
  <c r="S383" i="11"/>
  <c r="K383" i="11"/>
  <c r="L383" i="11"/>
  <c r="P383" i="11"/>
  <c r="T383" i="11"/>
  <c r="H384" i="11"/>
  <c r="Q383" i="11"/>
  <c r="I383" i="11"/>
  <c r="M383" i="11"/>
  <c r="O383" i="11"/>
  <c r="U383" i="11"/>
  <c r="J383" i="11"/>
  <c r="Q384" i="11" l="1"/>
  <c r="S384" i="11"/>
  <c r="N384" i="11"/>
  <c r="U384" i="11"/>
  <c r="I384" i="11"/>
  <c r="K384" i="11"/>
  <c r="M384" i="11"/>
  <c r="P384" i="11"/>
  <c r="R384" i="11"/>
  <c r="J384" i="11"/>
  <c r="H385" i="11"/>
  <c r="O384" i="11"/>
  <c r="L384" i="11"/>
  <c r="T384" i="11"/>
  <c r="O385" i="11" l="1"/>
  <c r="Q385" i="11"/>
  <c r="N385" i="11"/>
  <c r="M385" i="11"/>
  <c r="J385" i="11"/>
  <c r="P385" i="11"/>
  <c r="T385" i="11"/>
  <c r="U385" i="11"/>
  <c r="L385" i="11"/>
  <c r="H386" i="11"/>
  <c r="K385" i="11"/>
  <c r="S385" i="11"/>
  <c r="R385" i="11"/>
  <c r="I385" i="11"/>
  <c r="P386" i="11" l="1"/>
  <c r="N386" i="11"/>
  <c r="S386" i="11"/>
  <c r="J386" i="11"/>
  <c r="T386" i="11"/>
  <c r="H387" i="11"/>
  <c r="R386" i="11"/>
  <c r="U386" i="11"/>
  <c r="M386" i="11"/>
  <c r="Q386" i="11"/>
  <c r="I386" i="11"/>
  <c r="O386" i="11"/>
  <c r="L386" i="11"/>
  <c r="K386" i="11"/>
  <c r="S387" i="11" l="1"/>
  <c r="U387" i="11"/>
  <c r="O387" i="11"/>
  <c r="H388" i="11"/>
  <c r="I387" i="11"/>
  <c r="Q387" i="11"/>
  <c r="K387" i="11"/>
  <c r="T387" i="11"/>
  <c r="M387" i="11"/>
  <c r="J387" i="11"/>
  <c r="R387" i="11"/>
  <c r="P387" i="11"/>
  <c r="L387" i="11"/>
  <c r="N387" i="11"/>
  <c r="Q388" i="11" l="1"/>
  <c r="T388" i="11"/>
  <c r="U388" i="11"/>
  <c r="L388" i="11"/>
  <c r="S388" i="11"/>
  <c r="O388" i="11"/>
  <c r="I388" i="11"/>
  <c r="R388" i="11"/>
  <c r="P388" i="11"/>
  <c r="K388" i="11"/>
  <c r="J388" i="11"/>
  <c r="M388" i="11"/>
  <c r="N388" i="11"/>
  <c r="H389" i="11"/>
  <c r="U389" i="11" l="1"/>
  <c r="J389" i="11"/>
  <c r="K389" i="11"/>
  <c r="O389" i="11"/>
  <c r="I389" i="11"/>
  <c r="S389" i="11"/>
  <c r="T389" i="11"/>
  <c r="M389" i="11"/>
  <c r="Q389" i="11"/>
  <c r="N389" i="11"/>
  <c r="L389" i="11"/>
  <c r="R389" i="11"/>
  <c r="P389" i="11"/>
  <c r="H390" i="11"/>
  <c r="I390" i="11" l="1"/>
  <c r="K390" i="11"/>
  <c r="P390" i="11"/>
  <c r="M390" i="11"/>
  <c r="L390" i="11"/>
  <c r="O390" i="11"/>
  <c r="T390" i="11"/>
  <c r="R390" i="11"/>
  <c r="U390" i="11"/>
  <c r="J390" i="11"/>
  <c r="H391" i="11"/>
  <c r="S390" i="11"/>
  <c r="N390" i="11"/>
  <c r="Q390" i="11"/>
  <c r="O391" i="11" l="1"/>
  <c r="K391" i="11"/>
  <c r="N391" i="11"/>
  <c r="I391" i="11"/>
  <c r="R391" i="11"/>
  <c r="H392" i="11"/>
  <c r="S391" i="11"/>
  <c r="U391" i="11"/>
  <c r="T391" i="11"/>
  <c r="J391" i="11"/>
  <c r="Q391" i="11"/>
  <c r="L391" i="11"/>
  <c r="M391" i="11"/>
  <c r="P391" i="11"/>
  <c r="K392" i="11" l="1"/>
  <c r="S392" i="11"/>
  <c r="I392" i="11"/>
  <c r="Q392" i="11"/>
  <c r="N392" i="11"/>
  <c r="M392" i="11"/>
  <c r="T392" i="11"/>
  <c r="L392" i="11"/>
  <c r="O392" i="11"/>
  <c r="P392" i="11"/>
  <c r="H393" i="11"/>
  <c r="U392" i="11"/>
  <c r="J392" i="11"/>
  <c r="R392" i="11"/>
  <c r="T393" i="11" l="1"/>
  <c r="I393" i="11"/>
  <c r="H394" i="11"/>
  <c r="O393" i="11"/>
  <c r="M393" i="11"/>
  <c r="R393" i="11"/>
  <c r="L393" i="11"/>
  <c r="P393" i="11"/>
  <c r="K393" i="11"/>
  <c r="J393" i="11"/>
  <c r="N393" i="11"/>
  <c r="S393" i="11"/>
  <c r="Q393" i="11"/>
  <c r="U393" i="11"/>
  <c r="T394" i="11" l="1"/>
  <c r="O394" i="11"/>
  <c r="S394" i="11"/>
  <c r="P394" i="11"/>
  <c r="I394" i="11"/>
  <c r="N394" i="11"/>
  <c r="J394" i="11"/>
  <c r="U394" i="11"/>
  <c r="M394" i="11"/>
  <c r="K394" i="11"/>
  <c r="R394" i="11"/>
  <c r="Q394" i="11"/>
  <c r="H395" i="11"/>
  <c r="L394" i="11"/>
  <c r="T395" i="11" l="1"/>
  <c r="Q395" i="11"/>
  <c r="O395" i="11"/>
  <c r="H396" i="11"/>
  <c r="S395" i="11"/>
  <c r="N395" i="11"/>
  <c r="R395" i="11"/>
  <c r="I395" i="11"/>
  <c r="K395" i="11"/>
  <c r="M395" i="11"/>
  <c r="U395" i="11"/>
  <c r="J395" i="11"/>
  <c r="P395" i="11"/>
  <c r="L395" i="11"/>
  <c r="J396" i="11" l="1"/>
  <c r="T396" i="11"/>
  <c r="H397" i="11"/>
  <c r="Q396" i="11"/>
  <c r="P396" i="11"/>
  <c r="I396" i="11"/>
  <c r="S396" i="11"/>
  <c r="L396" i="11"/>
  <c r="O396" i="11"/>
  <c r="K396" i="11"/>
  <c r="N396" i="11"/>
  <c r="R396" i="11"/>
  <c r="M396" i="11"/>
  <c r="U396" i="11"/>
  <c r="Q397" i="11" l="1"/>
  <c r="K397" i="11"/>
  <c r="M397" i="11"/>
  <c r="I397" i="11"/>
  <c r="S397" i="11"/>
  <c r="P397" i="11"/>
  <c r="U397" i="11"/>
  <c r="J397" i="11"/>
  <c r="O397" i="11"/>
  <c r="N397" i="11"/>
  <c r="L397" i="11"/>
  <c r="T397" i="11"/>
  <c r="R397" i="11"/>
  <c r="H398" i="11"/>
  <c r="R398" i="11" l="1"/>
  <c r="P398" i="11"/>
  <c r="Q398" i="11"/>
  <c r="U398" i="11"/>
  <c r="O398" i="11"/>
  <c r="K398" i="11"/>
  <c r="L398" i="11"/>
  <c r="N398" i="11"/>
  <c r="M398" i="11"/>
  <c r="I398" i="11"/>
  <c r="H399" i="11"/>
  <c r="S398" i="11"/>
  <c r="J398" i="11"/>
  <c r="T398" i="11"/>
  <c r="T399" i="11" l="1"/>
  <c r="M399" i="11"/>
  <c r="O399" i="11"/>
  <c r="U399" i="11"/>
  <c r="P399" i="11"/>
  <c r="H400" i="11"/>
  <c r="K399" i="11"/>
  <c r="N399" i="11"/>
  <c r="I399" i="11"/>
  <c r="J399" i="11"/>
  <c r="L399" i="11"/>
  <c r="S399" i="11"/>
  <c r="R399" i="11"/>
  <c r="Q399" i="11"/>
  <c r="K400" i="11" l="1"/>
  <c r="I400" i="11"/>
  <c r="R400" i="11"/>
  <c r="H401" i="11"/>
  <c r="M400" i="11"/>
  <c r="J400" i="11"/>
  <c r="S400" i="11"/>
  <c r="O400" i="11"/>
  <c r="T400" i="11"/>
  <c r="P400" i="11"/>
  <c r="Q400" i="11"/>
  <c r="U400" i="11"/>
  <c r="N400" i="11"/>
  <c r="L400" i="11"/>
  <c r="U401" i="11" l="1"/>
  <c r="N401" i="11"/>
  <c r="R401" i="11"/>
  <c r="H402" i="11"/>
  <c r="S401" i="11"/>
  <c r="M401" i="11"/>
  <c r="L401" i="11"/>
  <c r="I401" i="11"/>
  <c r="P401" i="11"/>
  <c r="T401" i="11"/>
  <c r="K401" i="11"/>
  <c r="J401" i="11"/>
  <c r="O401" i="11"/>
  <c r="Q401" i="11"/>
  <c r="R402" i="11" l="1"/>
  <c r="I402" i="11"/>
  <c r="Q402" i="11"/>
  <c r="J402" i="11"/>
  <c r="H403" i="11"/>
  <c r="K402" i="11"/>
  <c r="P402" i="11"/>
  <c r="S402" i="11"/>
  <c r="L402" i="11"/>
  <c r="T402" i="11"/>
  <c r="N402" i="11"/>
  <c r="M402" i="11"/>
  <c r="U402" i="11"/>
  <c r="O402" i="11"/>
  <c r="O403" i="11" l="1"/>
  <c r="T403" i="11"/>
  <c r="L403" i="11"/>
  <c r="N403" i="11"/>
  <c r="H404" i="11"/>
  <c r="U403" i="11"/>
  <c r="M403" i="11"/>
  <c r="I403" i="11"/>
  <c r="S403" i="11"/>
  <c r="R403" i="11"/>
  <c r="P403" i="11"/>
  <c r="K403" i="11"/>
  <c r="Q403" i="11"/>
  <c r="J403" i="11"/>
  <c r="R404" i="11" l="1"/>
  <c r="N404" i="11"/>
  <c r="J404" i="11"/>
  <c r="U404" i="11"/>
  <c r="L404" i="11"/>
  <c r="O404" i="11"/>
  <c r="Q404" i="11"/>
  <c r="M404" i="11"/>
  <c r="P404" i="11"/>
  <c r="K404" i="11"/>
  <c r="I404" i="11"/>
  <c r="T404" i="11"/>
  <c r="H405" i="11"/>
  <c r="S404" i="11"/>
  <c r="L405" i="11" l="1"/>
  <c r="T405" i="11"/>
  <c r="H406" i="11"/>
  <c r="K405" i="11"/>
  <c r="P405" i="11"/>
  <c r="Q405" i="11"/>
  <c r="I405" i="11"/>
  <c r="S405" i="11"/>
  <c r="J405" i="11"/>
  <c r="M405" i="11"/>
  <c r="R405" i="11"/>
  <c r="N405" i="11"/>
  <c r="O405" i="11"/>
  <c r="U405" i="11"/>
  <c r="K406" i="11" l="1"/>
  <c r="J406" i="11"/>
  <c r="L406" i="11"/>
  <c r="I406" i="11"/>
  <c r="O406" i="11"/>
  <c r="Q406" i="11"/>
  <c r="P406" i="11"/>
  <c r="S406" i="11"/>
  <c r="H407" i="11"/>
  <c r="U406" i="11"/>
  <c r="M406" i="11"/>
  <c r="R406" i="11"/>
  <c r="N406" i="11"/>
  <c r="T406" i="11"/>
  <c r="O407" i="11" l="1"/>
  <c r="U407" i="11"/>
  <c r="N407" i="11"/>
  <c r="Q407" i="11"/>
  <c r="M407" i="11"/>
  <c r="T407" i="11"/>
  <c r="S407" i="11"/>
  <c r="L407" i="11"/>
  <c r="K407" i="11"/>
  <c r="P407" i="11"/>
  <c r="H408" i="11"/>
  <c r="I407" i="11"/>
  <c r="J407" i="11"/>
  <c r="R407" i="11"/>
  <c r="O408" i="11" l="1"/>
  <c r="S408" i="11"/>
  <c r="I408" i="11"/>
  <c r="N408" i="11"/>
  <c r="H409" i="11"/>
  <c r="T408" i="11"/>
  <c r="R408" i="11"/>
  <c r="K408" i="11"/>
  <c r="U408" i="11"/>
  <c r="L408" i="11"/>
  <c r="M408" i="11"/>
  <c r="P408" i="11"/>
  <c r="Q408" i="11"/>
  <c r="J408" i="11"/>
  <c r="P409" i="11" l="1"/>
  <c r="J409" i="11"/>
  <c r="Q409" i="11"/>
  <c r="I409" i="11"/>
  <c r="T409" i="11"/>
  <c r="U409" i="11"/>
  <c r="L409" i="11"/>
  <c r="O409" i="11"/>
  <c r="N409" i="11"/>
  <c r="S409" i="11"/>
  <c r="K409" i="11"/>
  <c r="M409" i="11"/>
  <c r="R409" i="11"/>
  <c r="H410" i="11"/>
  <c r="M410" i="11" l="1"/>
  <c r="Q410" i="11"/>
  <c r="R410" i="11"/>
  <c r="I410" i="11"/>
  <c r="K410" i="11"/>
  <c r="O410" i="11"/>
  <c r="T410" i="11"/>
  <c r="L410" i="11"/>
  <c r="U410" i="11"/>
  <c r="H411" i="11"/>
  <c r="N410" i="11"/>
  <c r="S410" i="11"/>
  <c r="J410" i="11"/>
  <c r="P410" i="11"/>
  <c r="N411" i="11" l="1"/>
  <c r="L411" i="11"/>
  <c r="H412" i="11"/>
  <c r="K411" i="11"/>
  <c r="U411" i="11"/>
  <c r="O411" i="11"/>
  <c r="P411" i="11"/>
  <c r="T411" i="11"/>
  <c r="R411" i="11"/>
  <c r="S411" i="11"/>
  <c r="M411" i="11"/>
  <c r="J411" i="11"/>
  <c r="Q411" i="11"/>
  <c r="I411" i="11"/>
  <c r="H413" i="11" l="1"/>
  <c r="N412" i="11"/>
  <c r="L412" i="11"/>
  <c r="O412" i="11"/>
  <c r="K412" i="11"/>
  <c r="J412" i="11"/>
  <c r="S412" i="11"/>
  <c r="U412" i="11"/>
  <c r="Q412" i="11"/>
  <c r="I412" i="11"/>
  <c r="T412" i="11"/>
  <c r="P412" i="11"/>
  <c r="M412" i="11"/>
  <c r="R412" i="11"/>
  <c r="Q413" i="11" l="1"/>
  <c r="I413" i="11"/>
  <c r="U413" i="11"/>
  <c r="R413" i="11"/>
  <c r="L413" i="11"/>
  <c r="T413" i="11"/>
  <c r="K413" i="11"/>
  <c r="J413" i="11"/>
  <c r="N413" i="11"/>
  <c r="O413" i="11"/>
  <c r="H414" i="11"/>
  <c r="P413" i="11"/>
  <c r="M413" i="11"/>
  <c r="S413" i="11"/>
  <c r="U414" i="11" l="1"/>
  <c r="H415" i="11"/>
  <c r="P414" i="11"/>
  <c r="M414" i="11"/>
  <c r="T414" i="11"/>
  <c r="K414" i="11"/>
  <c r="J414" i="11"/>
  <c r="N414" i="11"/>
  <c r="I414" i="11"/>
  <c r="Q414" i="11"/>
  <c r="O414" i="11"/>
  <c r="S414" i="11"/>
  <c r="R414" i="11"/>
  <c r="L414" i="11"/>
  <c r="L415" i="11" l="1"/>
  <c r="S415" i="11"/>
  <c r="H416" i="11"/>
  <c r="T415" i="11"/>
  <c r="Q415" i="11"/>
  <c r="N415" i="11"/>
  <c r="M415" i="11"/>
  <c r="K415" i="11"/>
  <c r="P415" i="11"/>
  <c r="R415" i="11"/>
  <c r="O415" i="11"/>
  <c r="U415" i="11"/>
  <c r="J415" i="11"/>
  <c r="I415" i="11"/>
  <c r="I416" i="11" l="1"/>
  <c r="K416" i="11"/>
  <c r="L416" i="11"/>
  <c r="P416" i="11"/>
  <c r="J416" i="11"/>
  <c r="H417" i="11"/>
  <c r="N416" i="11"/>
  <c r="U416" i="11"/>
  <c r="M416" i="11"/>
  <c r="T416" i="11"/>
  <c r="R416" i="11"/>
  <c r="Q416" i="11"/>
  <c r="S416" i="11"/>
  <c r="O416" i="11"/>
  <c r="R417" i="11" l="1"/>
  <c r="K417" i="11"/>
  <c r="U417" i="11"/>
  <c r="H418" i="11"/>
  <c r="L417" i="11"/>
  <c r="M417" i="11"/>
  <c r="T417" i="11"/>
  <c r="Q417" i="11"/>
  <c r="J417" i="11"/>
  <c r="O417" i="11"/>
  <c r="I417" i="11"/>
  <c r="P417" i="11"/>
  <c r="N417" i="11"/>
  <c r="S417" i="11"/>
  <c r="J418" i="11" l="1"/>
  <c r="N418" i="11"/>
  <c r="Q418" i="11"/>
  <c r="S418" i="11"/>
  <c r="O418" i="11"/>
  <c r="R418" i="11"/>
  <c r="M418" i="11"/>
  <c r="T418" i="11"/>
  <c r="H419" i="11"/>
  <c r="U418" i="11"/>
  <c r="L418" i="11"/>
  <c r="I418" i="11"/>
  <c r="K418" i="11"/>
  <c r="P418" i="11"/>
  <c r="L419" i="11" l="1"/>
  <c r="I419" i="11"/>
  <c r="N419" i="11"/>
  <c r="K419" i="11"/>
  <c r="H420" i="11"/>
  <c r="R419" i="11"/>
  <c r="M419" i="11"/>
  <c r="O419" i="11"/>
  <c r="Q419" i="11"/>
  <c r="S419" i="11"/>
  <c r="J419" i="11"/>
  <c r="U419" i="11"/>
  <c r="T419" i="11"/>
  <c r="P419" i="11"/>
  <c r="T420" i="11" l="1"/>
  <c r="U420" i="11"/>
  <c r="H421" i="11"/>
  <c r="K420" i="11"/>
  <c r="S420" i="11"/>
  <c r="R420" i="11"/>
  <c r="J420" i="11"/>
  <c r="P420" i="11"/>
  <c r="O420" i="11"/>
  <c r="M420" i="11"/>
  <c r="Q420" i="11"/>
  <c r="I420" i="11"/>
  <c r="L420" i="11"/>
  <c r="N420" i="11"/>
  <c r="S421" i="11" l="1"/>
  <c r="Q421" i="11"/>
  <c r="U421" i="11"/>
  <c r="K421" i="11"/>
  <c r="R421" i="11"/>
  <c r="M421" i="11"/>
  <c r="L421" i="11"/>
  <c r="I421" i="11"/>
  <c r="T421" i="11"/>
  <c r="J421" i="11"/>
  <c r="H422" i="11"/>
  <c r="P421" i="11"/>
  <c r="N421" i="11"/>
  <c r="O421" i="11"/>
  <c r="R422" i="11" l="1"/>
  <c r="N422" i="11"/>
  <c r="L422" i="11"/>
  <c r="I422" i="11"/>
  <c r="O422" i="11"/>
  <c r="K422" i="11"/>
  <c r="P422" i="11"/>
  <c r="U422" i="11"/>
  <c r="J422" i="11"/>
  <c r="T422" i="11"/>
  <c r="Q422" i="11"/>
  <c r="M422" i="11"/>
  <c r="S422" i="11"/>
  <c r="H423" i="11"/>
  <c r="M423" i="11" l="1"/>
  <c r="I423" i="11"/>
  <c r="K423" i="11"/>
  <c r="J423" i="11"/>
  <c r="T423" i="11"/>
  <c r="P423" i="11"/>
  <c r="L423" i="11"/>
  <c r="O423" i="11"/>
  <c r="S423" i="11"/>
  <c r="N423" i="11"/>
  <c r="H424" i="11"/>
  <c r="U423" i="11"/>
  <c r="Q423" i="11"/>
  <c r="R423" i="11"/>
  <c r="J424" i="11" l="1"/>
  <c r="K424" i="11"/>
  <c r="U424" i="11"/>
  <c r="H425" i="11"/>
  <c r="P424" i="11"/>
  <c r="T424" i="11"/>
  <c r="O424" i="11"/>
  <c r="M424" i="11"/>
  <c r="Q424" i="11"/>
  <c r="I424" i="11"/>
  <c r="R424" i="11"/>
  <c r="N424" i="11"/>
  <c r="S424" i="11"/>
  <c r="L424" i="11"/>
  <c r="N425" i="11" l="1"/>
  <c r="R425" i="11"/>
  <c r="P425" i="11"/>
  <c r="S425" i="11"/>
  <c r="M425" i="11"/>
  <c r="H426" i="11"/>
  <c r="I425" i="11"/>
  <c r="K425" i="11"/>
  <c r="U425" i="11"/>
  <c r="J425" i="11"/>
  <c r="O425" i="11"/>
  <c r="L425" i="11"/>
  <c r="Q425" i="11"/>
  <c r="T425" i="11"/>
  <c r="N426" i="11" l="1"/>
  <c r="U426" i="11"/>
  <c r="J426" i="11"/>
  <c r="R426" i="11"/>
  <c r="O426" i="11"/>
  <c r="P426" i="11"/>
  <c r="I426" i="11"/>
  <c r="K426" i="11"/>
  <c r="S426" i="11"/>
  <c r="T426" i="11"/>
  <c r="Q426" i="11"/>
  <c r="L426" i="11"/>
  <c r="M426" i="11"/>
</calcChain>
</file>

<file path=xl/comments1.xml><?xml version="1.0" encoding="utf-8"?>
<comments xmlns="http://schemas.openxmlformats.org/spreadsheetml/2006/main">
  <authors>
    <author>Joanna Florczak</author>
  </authors>
  <commentList>
    <comment ref="C71" authorId="0" shapeId="0">
      <text>
        <r>
          <rPr>
            <sz val="9"/>
            <color indexed="81"/>
            <rFont val="Tahoma"/>
            <family val="2"/>
            <charset val="238"/>
          </rPr>
          <t xml:space="preserve">1,9 bo do gąsiora i wiatrownicy które przy uwzgl. zakładki mają 1,9m
</t>
        </r>
      </text>
    </comment>
    <comment ref="F71" authorId="0" shapeId="0">
      <text>
        <r>
          <rPr>
            <b/>
            <sz val="9"/>
            <color indexed="81"/>
            <rFont val="Tahoma"/>
            <family val="2"/>
            <charset val="238"/>
          </rPr>
          <t>il wkrętów do gąsiora = A/1,9(liczba gąsiorów)*8(liczba wkrętów na gąsior) +
il wkrętów do wiatrownicy = B1/1,9*4(4wkręty na wiartrownice)*2(bo 2 krawędzie) *2 połacie)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  <charset val="238"/>
          </rPr>
          <t>łącznie zaślepek tyle ile paneli (1 połać RZL, reszta RZR)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  <charset val="238"/>
          </rPr>
          <t>27,08 jedna na inwestycje, zużycie do oszacowania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  <charset val="238"/>
          </rPr>
          <t>tyle należy odjąć od długości rynny na połać</t>
        </r>
      </text>
    </comment>
    <comment ref="E95" authorId="0" shapeId="0">
      <text>
        <r>
          <rPr>
            <b/>
            <sz val="9"/>
            <color indexed="81"/>
            <rFont val="Tahoma"/>
            <family val="2"/>
            <charset val="238"/>
          </rPr>
          <t>długość zależna od szer za rynną? Minus określona wartość (bo profile muszą być nieco krótsze)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ilość sztuk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9" authorId="0" shapeId="0">
      <text>
        <r>
          <rPr>
            <b/>
            <sz val="9"/>
            <color indexed="81"/>
            <rFont val="Tahoma"/>
            <family val="2"/>
            <charset val="238"/>
          </rPr>
          <t>długość zależna od szer za rynną? Minus określona wartość (bo profile muszą być nieco krótsze)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ilość sztuk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w pionie co 1,2m potwierdzone
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,001 po to by w razie B2=np. 3m dobrać kątownik 2m+1m a nie 2m+2m
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ilość pionów z kątownikami
</t>
        </r>
      </text>
    </comment>
    <comment ref="F110" authorId="0" shapeId="0">
      <text>
        <r>
          <rPr>
            <b/>
            <sz val="9"/>
            <color indexed="81"/>
            <rFont val="Tahoma"/>
            <family val="2"/>
            <charset val="238"/>
          </rPr>
          <t>ilość kątowników w jednym pionie</t>
        </r>
      </text>
    </comment>
    <comment ref="F111" authorId="0" shapeId="0">
      <text>
        <r>
          <rPr>
            <b/>
            <sz val="9"/>
            <color indexed="81"/>
            <rFont val="Tahoma"/>
            <family val="2"/>
            <charset val="238"/>
          </rPr>
          <t>ilość potrzebnych kątowników 1m do uzupełnienia pozostałej wysokości elewacji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  <charset val="238"/>
          </rPr>
          <t>odległość między kontrłatami w wersji okapowej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  <charset val="238"/>
          </rPr>
          <t>mufa na łączeniu rura-redukcja(każdy pion) i rura-rura(piony &gt;4m)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  <charset val="238"/>
          </rPr>
          <t>rozstaw obejm szacunkowo 1,33</t>
        </r>
      </text>
    </comment>
    <comment ref="F123" authorId="0" shapeId="0">
      <text>
        <r>
          <rPr>
            <b/>
            <sz val="9"/>
            <color indexed="81"/>
            <rFont val="Tahoma"/>
            <family val="2"/>
            <charset val="238"/>
          </rPr>
          <t>ilość pełnych rur 4m na pion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  <charset val="238"/>
          </rPr>
          <t>rozstaw obejm szacunkowo 1,33, ale przyjmujemy 3szt na rurę 4m i co najmniej 2 szt na krótszy odcinek uzupełniający (powyzej 2,2m
3 szt.)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  <charset val="238"/>
          </rPr>
          <t>1 na 2 piony spustowe (na łączenia mufy z rurą)</t>
        </r>
      </text>
    </comment>
    <comment ref="H155" authorId="0" shapeId="0">
      <text>
        <r>
          <rPr>
            <b/>
            <sz val="9"/>
            <color indexed="81"/>
            <rFont val="Tahoma"/>
            <family val="2"/>
            <charset val="238"/>
          </rPr>
          <t>1 na połać</t>
        </r>
      </text>
    </comment>
    <comment ref="E15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Mocowanie kabli do rynien kwadratowych           (zużycie 0,2m/mb rynny) </t>
        </r>
      </text>
    </comment>
    <comment ref="E157" authorId="0" shapeId="0">
      <text>
        <r>
          <rPr>
            <b/>
            <sz val="9"/>
            <color indexed="81"/>
            <rFont val="Tahoma"/>
            <family val="2"/>
            <charset val="238"/>
          </rPr>
          <t>Mocowanie kabli do rur spustowych        (zużycie 2,5szt./mb rury)</t>
        </r>
      </text>
    </comment>
  </commentList>
</comments>
</file>

<file path=xl/sharedStrings.xml><?xml version="1.0" encoding="utf-8"?>
<sst xmlns="http://schemas.openxmlformats.org/spreadsheetml/2006/main" count="1442" uniqueCount="823">
  <si>
    <t>kod</t>
  </si>
  <si>
    <t>Nazwa :</t>
  </si>
  <si>
    <t>Adres :</t>
  </si>
  <si>
    <t>Telefon :</t>
  </si>
  <si>
    <t>Data odbioru/dostawy</t>
  </si>
  <si>
    <t>wartość netto PLN</t>
  </si>
  <si>
    <t>VAT 23%</t>
  </si>
  <si>
    <t>wartość brutto PLN</t>
  </si>
  <si>
    <t>WARTOŚĆ ZAMÓWIENIA:</t>
  </si>
  <si>
    <t>wartość netto po rabacie</t>
  </si>
  <si>
    <t>Koordynator</t>
  </si>
  <si>
    <t>Typ zam.</t>
  </si>
  <si>
    <t>Sprzedaży</t>
  </si>
  <si>
    <t>Klient</t>
  </si>
  <si>
    <t>Wymagana data</t>
  </si>
  <si>
    <t>Ilość</t>
  </si>
  <si>
    <t>(w formacie RRRR-MM-DD)</t>
  </si>
  <si>
    <t>wartość netto zamówienia po rabacie do sprawdzenia z ZK</t>
  </si>
  <si>
    <t>Dostawca : GALECO Sp. z o.o.</t>
  </si>
  <si>
    <t>data i podpis zamawiającego</t>
  </si>
  <si>
    <t>Dokument Microsoft Excel. Edycja w programie innym niż Microsoft Excel może powodować nieprawidłowe działanie kalkulatora.</t>
  </si>
  <si>
    <t>Aktualnie obowiązujące ceny znajdują się w cennikach dostępnych na stronie www.galeco.pl.</t>
  </si>
  <si>
    <t>DOLNOŚLĄSKIE BH - Wrocław, ul. Północna 15-19, tel. 606 760 063, wroclaw@galeco.eu</t>
  </si>
  <si>
    <t>LUBELSKIE BH - Puławy, ul. Dęblińska 56, tel. 606 837 024, pulawy@galeco.eu</t>
  </si>
  <si>
    <t>MAŁOPOLSKIE BH - Ładna 70C, Skrzyszów, tel.606 760 056, tarnow@galeco.eu</t>
  </si>
  <si>
    <t>MAZOWIECKIE BH - Radzymin, ul. Usmiechu 1, Cegielnia, tel.  728 960 308, warszawa@galeco.eu</t>
  </si>
  <si>
    <t>POMORSKIE BH - Gdynia, ul. Hutnicza 59, tel. 606 837 145, gdynia@galeco.eu</t>
  </si>
  <si>
    <t>WIELKOPOLSKIE BH - Poznań, ul. Warszawska 37a, tel. 728 960 309, poznan@galeco.eu</t>
  </si>
  <si>
    <t>ŚLĄSKIE BH - Mikołów k/Katowic, ul. Gliwicka 122, tel. 606 837 343, katowice@galeco.eu</t>
  </si>
  <si>
    <t>PŁOCKIE BH - Płock, ul. Kutnowska 21, tel. 606 837 256, plock@galeco.eu</t>
  </si>
  <si>
    <t>Blacha płaska foliowana arkusz 125x200cm/0,5mm</t>
  </si>
  <si>
    <t>O dostępność proszę pytać w Biurach Handlowych Galeco</t>
  </si>
  <si>
    <t>Waluta</t>
  </si>
  <si>
    <t>PLN</t>
  </si>
  <si>
    <t>1/50</t>
  </si>
  <si>
    <t>1/1</t>
  </si>
  <si>
    <t>1/40</t>
  </si>
  <si>
    <t>Farba zaprawkowa 100ml</t>
  </si>
  <si>
    <t>3320-000-_-FZA100</t>
  </si>
  <si>
    <t>3341-293-_-GSR200</t>
  </si>
  <si>
    <t>3340-000-_-LSP048</t>
  </si>
  <si>
    <t>905M</t>
  </si>
  <si>
    <t>716M</t>
  </si>
  <si>
    <t>3341-220-_-GSR200</t>
  </si>
  <si>
    <t>716U</t>
  </si>
  <si>
    <t>3320-035-_-WTX250</t>
  </si>
  <si>
    <t>3340-000-_-LSP027</t>
  </si>
  <si>
    <t>3340-000-_-LSE200</t>
  </si>
  <si>
    <t>3341-000-_-WTA200</t>
  </si>
  <si>
    <t>2/32</t>
  </si>
  <si>
    <t>Wkręty do podsufitki/panelu 4,2x19mm (op. 1000szt)</t>
  </si>
  <si>
    <t>2210-019-000X-WPO1000</t>
  </si>
  <si>
    <t>1/108</t>
  </si>
  <si>
    <t>1/84</t>
  </si>
  <si>
    <t>3331-000-_-WTP200</t>
  </si>
  <si>
    <t>Gąsior mały do panelu na rąbek 220mm/200cm</t>
  </si>
  <si>
    <t>Gąsior duży do panelu na rąbek 293mm/200cm</t>
  </si>
  <si>
    <t xml:space="preserve">Pas startowy nadrynnowy do panelu na rąbek 200cm </t>
  </si>
  <si>
    <t>3341-000-_-PSN200</t>
  </si>
  <si>
    <t>Wiatrownica do panelu na rąbek 150mm/200cm</t>
  </si>
  <si>
    <t>Wiatrownica przedłużająca 215mm/200cm</t>
  </si>
  <si>
    <t>Listwa wentylacyjna podgąsiorowa do panelu na rąbek 501mm/480mm</t>
  </si>
  <si>
    <t>Listwa startowa wentylacyjna do elewacji w panelu na rąbek 200cm</t>
  </si>
  <si>
    <t xml:space="preserve">Pas startowy nadrynnowy wentylacyjny do panelu na rąbek 200cm </t>
  </si>
  <si>
    <t>3341-000-_-PSW200</t>
  </si>
  <si>
    <t>zgodność</t>
  </si>
  <si>
    <t>kolejne linie</t>
  </si>
  <si>
    <t>grafit mat (Pural BT mat)</t>
  </si>
  <si>
    <t>grafit mat (Ultramat)</t>
  </si>
  <si>
    <t>wzór</t>
  </si>
  <si>
    <t>płaski</t>
  </si>
  <si>
    <t>mikrofala wąska</t>
  </si>
  <si>
    <t>mikrofala szeroka</t>
  </si>
  <si>
    <t>Specyfikacja suma [m2]:</t>
  </si>
  <si>
    <t>komplet spec.</t>
  </si>
  <si>
    <t>Kod podaży</t>
  </si>
  <si>
    <t>bez podbicia</t>
  </si>
  <si>
    <t>P</t>
  </si>
  <si>
    <t>F</t>
  </si>
  <si>
    <t>S</t>
  </si>
  <si>
    <t>W</t>
  </si>
  <si>
    <t>K</t>
  </si>
  <si>
    <t>Nr oferty</t>
  </si>
  <si>
    <t>Transakcja zakupu wewn.</t>
  </si>
  <si>
    <t>- pusty -</t>
  </si>
  <si>
    <t>IPT</t>
  </si>
  <si>
    <t>Linie specyfikacji</t>
  </si>
  <si>
    <t>UM</t>
  </si>
  <si>
    <t>DŁUGOŚĆ ELEMENTÓW</t>
  </si>
  <si>
    <t>ILOŚĆ ELEMENTÓW</t>
  </si>
  <si>
    <t>ZAGIĘCIE</t>
  </si>
  <si>
    <t>Pozycja</t>
  </si>
  <si>
    <t>SHO</t>
  </si>
  <si>
    <t>905U</t>
  </si>
  <si>
    <t>Dopłata</t>
  </si>
  <si>
    <t>mata antykondensacyjna</t>
  </si>
  <si>
    <t>mata wygłuszająca</t>
  </si>
  <si>
    <t>Lp</t>
  </si>
  <si>
    <t>E-mail :</t>
  </si>
  <si>
    <t>powłoka GreenCoat 
Pural BT mat</t>
  </si>
  <si>
    <t>Data type</t>
  </si>
  <si>
    <t>721P</t>
  </si>
  <si>
    <t>905P</t>
  </si>
  <si>
    <t>GRINv1</t>
  </si>
  <si>
    <t>3340-000-_-LSP200</t>
  </si>
  <si>
    <t>Listwa wentylacyjna podgąsiorowa do panelu na rąbek 200cm</t>
  </si>
  <si>
    <t>3340-025-000X-WOR500</t>
  </si>
  <si>
    <t>Wkręt TORX 4,8x35mm (op. 250szt.)</t>
  </si>
  <si>
    <t>Wiatrownica wysoka do panelu na rąbek 220mm/200cm</t>
  </si>
  <si>
    <t>Wkręt ocynkowany do panelu na rąbek 4,2x25mm (op. 500szt.)</t>
  </si>
  <si>
    <t>3341-220-_-WTA200</t>
  </si>
  <si>
    <t>716S</t>
  </si>
  <si>
    <t>905S</t>
  </si>
  <si>
    <t>zestawy barier przeciwśniegowych</t>
  </si>
  <si>
    <t>akcesoria do barier przeciwśniegowych</t>
  </si>
  <si>
    <t>Wspornik rurowy do barier przeciwśniegowych do panelu na rąbek STAL</t>
  </si>
  <si>
    <t>3000-000-_-ZWR000</t>
  </si>
  <si>
    <t>1/8</t>
  </si>
  <si>
    <t>Rura do barier przeciwśniegowych 120cm 1,5x32mm STAL</t>
  </si>
  <si>
    <t>3000-000-_-ZRU120</t>
  </si>
  <si>
    <t>Rura do barier przeciwśniegowych 200cm 1,5x32mm STAL</t>
  </si>
  <si>
    <t>3000-000-_-ZRU200</t>
  </si>
  <si>
    <t>Blokada rury do barier przeciwśniegowych STAL</t>
  </si>
  <si>
    <t>3000-000-_-ZBU000</t>
  </si>
  <si>
    <t>Łącznik rury do barier przeciwśniegowych z tworzywa</t>
  </si>
  <si>
    <t>3000-000-_-ZLU000</t>
  </si>
  <si>
    <t>Zaślepka rury do barier przeciwśniegowych z tworzywa</t>
  </si>
  <si>
    <t>3000-000-_-ZZU000</t>
  </si>
  <si>
    <t>1/100</t>
  </si>
  <si>
    <t>akcesoria do komunikacji dachowej</t>
  </si>
  <si>
    <t>Łącznik ławy kominiarskiej STAL</t>
  </si>
  <si>
    <t>3000-000-_-LLU000</t>
  </si>
  <si>
    <t>Ława kominiarska  40cm STAL</t>
  </si>
  <si>
    <t>3000-000-_-LKU040</t>
  </si>
  <si>
    <t>1/2</t>
  </si>
  <si>
    <t>Ława kominiarska  60cm STAL</t>
  </si>
  <si>
    <t>3000-000-_-LKU060</t>
  </si>
  <si>
    <t>Ława kominiarska  80cm STAL</t>
  </si>
  <si>
    <t>3000-000-_-LKU080</t>
  </si>
  <si>
    <t>Ława kominiarska  120cm STAL</t>
  </si>
  <si>
    <t>3000-000-_-LKU120</t>
  </si>
  <si>
    <t>Ława kominiarska  200cm STAL</t>
  </si>
  <si>
    <t>3000-000-_-LKU200</t>
  </si>
  <si>
    <t>rabat</t>
  </si>
  <si>
    <t>3000-000-_-ZZR240</t>
  </si>
  <si>
    <t>Rurowy zestaw barier przeciwśniegowych 360cm do panelu na rąbek STAL (6 rur, 7 wsporników, 4 zaślepki, 4 łączniki, 4 blokady)</t>
  </si>
  <si>
    <t>3000-000-_-ZZR360</t>
  </si>
  <si>
    <t>Zestaw komunikacji dachowej 60cm do panelu na rąbek STAL
(1 ława 60cm, 2 wsporniki ławy, komplet śrub montażowych)</t>
  </si>
  <si>
    <t>3000-000-_-KZR060</t>
  </si>
  <si>
    <t>Zestaw komunikacji dachowej 120cm do panelu na rąbek STAL
(1 ława 120cm,3 wsporniki ławy, komplet śrub montażowych)</t>
  </si>
  <si>
    <t>Wspornik ławy kominiarskiej do panelu na rąbek STAL</t>
  </si>
  <si>
    <t>3000-000-_-LWR000</t>
  </si>
  <si>
    <t xml:space="preserve">komunikacja dachowa </t>
  </si>
  <si>
    <t>3000-000-_-KZR120</t>
  </si>
  <si>
    <t>817R</t>
  </si>
  <si>
    <t>905R</t>
  </si>
  <si>
    <t>716R</t>
  </si>
  <si>
    <t>czarny mat (Pural BT mat)</t>
  </si>
  <si>
    <t>czarny mat (Ultramat)</t>
  </si>
  <si>
    <t>brąz mat (Rough mat)</t>
  </si>
  <si>
    <t>czarny mat (Rough mat)</t>
  </si>
  <si>
    <t>grafit mat (Rough mat)</t>
  </si>
  <si>
    <t>powłoka 
Rough Matt</t>
  </si>
  <si>
    <t>3351-501-_-MPP100</t>
  </si>
  <si>
    <t>3351-501-_-MPP200</t>
  </si>
  <si>
    <t>3351-501-_-SPP100</t>
  </si>
  <si>
    <t>3351-501-_-SPP200</t>
  </si>
  <si>
    <t>GRIN</t>
  </si>
  <si>
    <t>3320-035-_-WFR250</t>
  </si>
  <si>
    <t>trapez podwójny</t>
  </si>
  <si>
    <t>T</t>
  </si>
  <si>
    <t>wzmocnienie podwójne</t>
  </si>
  <si>
    <t>Panel dachowy mod. na rąbek 501mm/200cm płaski</t>
  </si>
  <si>
    <t xml:space="preserve">Panel dachowy mod. na rąbek 501mm/100cm płaski </t>
  </si>
  <si>
    <t xml:space="preserve">Panel startowy mod. na rąbek 501mm/200cm płaski </t>
  </si>
  <si>
    <t xml:space="preserve">Panel startowy mod. na rąbek 501mm/100cm płaski </t>
  </si>
  <si>
    <t>1/70</t>
  </si>
  <si>
    <t>3320-020-_-WTZ250</t>
  </si>
  <si>
    <t>Wkręt TORX zakładkowy 4,8x20mm (op. 250szt.)</t>
  </si>
  <si>
    <t>Wkręt farmerski 4,8x35mm (op. 250szt.)</t>
  </si>
  <si>
    <t>POKRYCIE</t>
  </si>
  <si>
    <t>wykończenie proszę wybrać z listy rozwijalnej w poniższych polach:</t>
  </si>
  <si>
    <t xml:space="preserve">ZAMÓWIENIE/WYCENA </t>
  </si>
  <si>
    <t>m2 
efekt.</t>
  </si>
  <si>
    <t>szt.
/opak.</t>
  </si>
  <si>
    <t>szt.</t>
  </si>
  <si>
    <t xml:space="preserve">podbicie  </t>
  </si>
  <si>
    <t>DACHRYNNA</t>
  </si>
  <si>
    <t>Rynna 4mb (efektywna 3,93mb) STAL</t>
  </si>
  <si>
    <t>1111-190-_-RYN400</t>
  </si>
  <si>
    <t>Rynna łącząca obustronnie tłoczona 58cm (efek. 44cm) STAL</t>
  </si>
  <si>
    <t>1111-190-_-RYL058</t>
  </si>
  <si>
    <t>Wspornik 4mm STAL</t>
  </si>
  <si>
    <t>1111-190-_-WSP004</t>
  </si>
  <si>
    <t>1/25</t>
  </si>
  <si>
    <t>Odpływ okapowy 190mm/80x70mm/60mm STAL</t>
  </si>
  <si>
    <t>1111-190-_-OPO080</t>
  </si>
  <si>
    <t>Zaślepka uniwersalna 190mm STAL</t>
  </si>
  <si>
    <t>1111-190-_-ZUS000</t>
  </si>
  <si>
    <t>1/32</t>
  </si>
  <si>
    <t>Pas startowy panelu dachowego przy panelu podokapowym GRIN 200cm STAL</t>
  </si>
  <si>
    <t>Pas skroplinowy nakrokwiowy do panelu podokapowego GRIN 200cm STAL</t>
  </si>
  <si>
    <t>Pas startowy wentylacyjny do panelu podokapowego GRIN 200cm STAL</t>
  </si>
  <si>
    <t>Listwa J do panelu podokapowego GRIN 200cm STAL</t>
  </si>
  <si>
    <t>elementy rynny połaciowej</t>
  </si>
  <si>
    <t>obróbki wykończenia okapu - DACHRYNNA OKAPOWA</t>
  </si>
  <si>
    <t>1110-000-_-POS200</t>
  </si>
  <si>
    <t>1110-000-_-PON200</t>
  </si>
  <si>
    <t>1110-000-_-POW200</t>
  </si>
  <si>
    <t>1110-000-_-LOJ200</t>
  </si>
  <si>
    <t>Jeśli realizujesz zamówienie z pokryciem ciężkim wyceń pokrycie u naszego Partnera - Producenta dachówek ceramicznych</t>
  </si>
  <si>
    <t xml:space="preserve">Profil zamknięty aluminiowy 2mb 50x25mm
UWAGA! do montażu z panelem na rąbek </t>
  </si>
  <si>
    <t xml:space="preserve">Profil zamknięty aluminiowy 2mb 50x40mm
UWAGA! do montażu z dachówką </t>
  </si>
  <si>
    <t>1113-050-000X-PAZ200</t>
  </si>
  <si>
    <t>1113-050-000X-PAD200</t>
  </si>
  <si>
    <t>1110-050-000X-WOA300</t>
  </si>
  <si>
    <t>elementy spustowe 70 x 80</t>
  </si>
  <si>
    <t>Rura 4mb PVC</t>
  </si>
  <si>
    <t>Mufa z uszczelką i klejem cyjanoakrylowym PVC</t>
  </si>
  <si>
    <t>Kolano 67° PVC</t>
  </si>
  <si>
    <t>Kolano elastyczne [HDPE] z uszczelką  80x70mm</t>
  </si>
  <si>
    <t>Obejma metalowa do dybla STAL</t>
  </si>
  <si>
    <t>1022-080-_-RUR400</t>
  </si>
  <si>
    <t>6/96</t>
  </si>
  <si>
    <t>1062-080-_-MUF000</t>
  </si>
  <si>
    <t>2/12</t>
  </si>
  <si>
    <t>1022-080-_-KOL067</t>
  </si>
  <si>
    <t>5/40</t>
  </si>
  <si>
    <t>1062-080-_-KEL000</t>
  </si>
  <si>
    <t>1/30</t>
  </si>
  <si>
    <t>1062-080-_-KOBXXX</t>
  </si>
  <si>
    <t>1022-080-_-OBS000</t>
  </si>
  <si>
    <t>10/50</t>
  </si>
  <si>
    <t>721S</t>
  </si>
  <si>
    <t>1110-000-_-RZL000</t>
  </si>
  <si>
    <t>1110-000-_-RZP000</t>
  </si>
  <si>
    <t>Panel dachowy na rąbek szeroki 501mm</t>
  </si>
  <si>
    <t>Panel dachowy na rąbek wąski 292mm</t>
  </si>
  <si>
    <t>akcesoria</t>
  </si>
  <si>
    <t>Uszczelka butylowa dwustronna 7mb 20x3mm (czerń)</t>
  </si>
  <si>
    <t>Kołnierz uszczelniający przejście przez membranę (czerń)</t>
  </si>
  <si>
    <t>Obudowa termoizolacyjna do rury spustowej 1,2mb</t>
  </si>
  <si>
    <t>Studzienka 300x300x300 mm (z pokrywą/rusztem, separatorami, koszyczkiem) PP (czerń)</t>
  </si>
  <si>
    <t>Nadbudowa studzienki 300x300x300mm PP (czerń)</t>
  </si>
  <si>
    <t>Kolano 110mm 88° PP (jasny popiel)</t>
  </si>
  <si>
    <t>Obejma do dybla 110mm (ocynk)</t>
  </si>
  <si>
    <t>Rura kanalizacyjna 110mm - 1m</t>
  </si>
  <si>
    <t>Redukcja 70x80/110mm PP (jasny popiel)</t>
  </si>
  <si>
    <t>Kołek dwugwintowy 100mm z długą koszulką</t>
  </si>
  <si>
    <t>Kołek dwugwintowy 160mm z długą koszulką</t>
  </si>
  <si>
    <t>Kołek dwugwintowy 200mm z długą koszulką</t>
  </si>
  <si>
    <t>Kołek dwugwintowy 260mm z długą koszulką</t>
  </si>
  <si>
    <t>Kołek dwugwintowy 300mm z długą koszulką</t>
  </si>
  <si>
    <t>Koszyczek do odpływu PP (czerń)</t>
  </si>
  <si>
    <t>Smar do uszczelek w sprayu Soudal 400ml</t>
  </si>
  <si>
    <t>1/80</t>
  </si>
  <si>
    <t>25/300</t>
  </si>
  <si>
    <t>25/200</t>
  </si>
  <si>
    <t>25/100</t>
  </si>
  <si>
    <t>j.popiel.</t>
  </si>
  <si>
    <t>czarny</t>
  </si>
  <si>
    <t>powłoka 
Granite 
Ultramat</t>
  </si>
  <si>
    <t>1110-020-000X-USB700</t>
  </si>
  <si>
    <t>1110-000-905S-MKU000</t>
  </si>
  <si>
    <t>1062-080-000X-RUT120</t>
  </si>
  <si>
    <t>1003-300-905S-SSU300</t>
  </si>
  <si>
    <t>1003-300-905S-SSN300</t>
  </si>
  <si>
    <t>1003-110-738S-KOK088</t>
  </si>
  <si>
    <t>1000-110-923S-OBS000</t>
  </si>
  <si>
    <t>1003-110-738S-RUK100</t>
  </si>
  <si>
    <t>1003-080-738S-RED110</t>
  </si>
  <si>
    <t>1000-000-000X-KDW100</t>
  </si>
  <si>
    <t>1000-000-000X-KDW160</t>
  </si>
  <si>
    <t>1000-000-000X-KDW200</t>
  </si>
  <si>
    <t>1000-000-000X-KDW260</t>
  </si>
  <si>
    <t>1000-000-000X-KDW300</t>
  </si>
  <si>
    <t>1000-000-905S-OKO000</t>
  </si>
  <si>
    <t>1000-000-000X-SPS400</t>
  </si>
  <si>
    <t>Grupa Rabatowa</t>
  </si>
  <si>
    <t>A</t>
  </si>
  <si>
    <t>C</t>
  </si>
  <si>
    <t>B</t>
  </si>
  <si>
    <t>1/12</t>
  </si>
  <si>
    <t>Typ pokrycia</t>
  </si>
  <si>
    <t>Rąbek modułowy</t>
  </si>
  <si>
    <t xml:space="preserve"> Typ dachu</t>
  </si>
  <si>
    <t>BEZOKAPOWY</t>
  </si>
  <si>
    <r>
      <t xml:space="preserve"> Wymiar</t>
    </r>
    <r>
      <rPr>
        <sz val="11"/>
        <color indexed="8"/>
        <rFont val="Gilroy-Medium"/>
        <charset val="238"/>
      </rPr>
      <t xml:space="preserve"> </t>
    </r>
    <r>
      <rPr>
        <b/>
        <sz val="11"/>
        <color indexed="10"/>
        <rFont val="Gilroy-Medium"/>
        <charset val="238"/>
      </rPr>
      <t>A</t>
    </r>
    <r>
      <rPr>
        <b/>
        <sz val="9"/>
        <color indexed="10"/>
        <rFont val="Gilroy-Medium"/>
        <charset val="238"/>
      </rPr>
      <t xml:space="preserve"> </t>
    </r>
    <r>
      <rPr>
        <sz val="9"/>
        <color indexed="23"/>
        <rFont val="Gilroy-Medium"/>
        <charset val="238"/>
      </rPr>
      <t>(dług. kalenicy)</t>
    </r>
  </si>
  <si>
    <r>
      <t xml:space="preserve"> Wymiar</t>
    </r>
    <r>
      <rPr>
        <sz val="10"/>
        <color indexed="51"/>
        <rFont val="Gilroy-Medium"/>
        <charset val="238"/>
      </rPr>
      <t xml:space="preserve"> </t>
    </r>
    <r>
      <rPr>
        <b/>
        <sz val="12"/>
        <color indexed="51"/>
        <rFont val="Gilroy-Medium"/>
        <charset val="238"/>
      </rPr>
      <t>B0</t>
    </r>
    <r>
      <rPr>
        <sz val="10"/>
        <color indexed="53"/>
        <rFont val="Gilroy-Medium"/>
        <charset val="238"/>
      </rPr>
      <t xml:space="preserve"> </t>
    </r>
    <r>
      <rPr>
        <sz val="9"/>
        <color indexed="23"/>
        <rFont val="Gilroy-Medium"/>
        <charset val="238"/>
      </rPr>
      <t>(wys. połaci nad rynną)</t>
    </r>
  </si>
  <si>
    <r>
      <t xml:space="preserve"> Wymiar </t>
    </r>
    <r>
      <rPr>
        <b/>
        <sz val="12"/>
        <color indexed="51"/>
        <rFont val="Gilroy-Medium"/>
        <charset val="238"/>
      </rPr>
      <t>B1</t>
    </r>
    <r>
      <rPr>
        <b/>
        <sz val="10"/>
        <color indexed="13"/>
        <rFont val="Gilroy-Medium"/>
        <charset val="238"/>
      </rPr>
      <t xml:space="preserve"> </t>
    </r>
    <r>
      <rPr>
        <sz val="9"/>
        <color indexed="23"/>
        <rFont val="Gilroy-Medium"/>
        <charset val="238"/>
      </rPr>
      <t>(wys. połaci pod rynną)</t>
    </r>
  </si>
  <si>
    <r>
      <t xml:space="preserve"> Wymiar</t>
    </r>
    <r>
      <rPr>
        <sz val="10"/>
        <color indexed="53"/>
        <rFont val="Gilroy-Medium"/>
        <charset val="238"/>
      </rPr>
      <t xml:space="preserve"> </t>
    </r>
    <r>
      <rPr>
        <b/>
        <sz val="11"/>
        <color indexed="53"/>
        <rFont val="Gilroy-Medium"/>
        <charset val="238"/>
      </rPr>
      <t>B2</t>
    </r>
    <r>
      <rPr>
        <sz val="10"/>
        <color indexed="23"/>
        <rFont val="Gilroy-Medium"/>
        <charset val="238"/>
      </rPr>
      <t xml:space="preserve"> </t>
    </r>
    <r>
      <rPr>
        <sz val="9"/>
        <color indexed="23"/>
        <rFont val="Gilroy-Medium"/>
        <charset val="238"/>
      </rPr>
      <t>(wys. elew. w panelu)</t>
    </r>
  </si>
  <si>
    <r>
      <rPr>
        <sz val="10"/>
        <rFont val="Arial"/>
        <family val="2"/>
        <charset val="238"/>
      </rPr>
      <t xml:space="preserve"> Wymiar </t>
    </r>
    <r>
      <rPr>
        <b/>
        <sz val="10"/>
        <color indexed="49"/>
        <rFont val="Arial"/>
        <family val="2"/>
        <charset val="238"/>
      </rPr>
      <t>C</t>
    </r>
    <r>
      <rPr>
        <sz val="9"/>
        <color indexed="23"/>
        <rFont val="Gilroy-Medium"/>
        <charset val="238"/>
      </rPr>
      <t xml:space="preserve"> (wys. bud.)</t>
    </r>
  </si>
  <si>
    <t xml:space="preserve"> Połacie</t>
  </si>
  <si>
    <t>Gąsior</t>
  </si>
  <si>
    <t>mały</t>
  </si>
  <si>
    <t>TAK</t>
  </si>
  <si>
    <t>*podkonstrukcja elewacyjna - szacuj elementy podkonstrukcji</t>
  </si>
  <si>
    <t>Kolor i powłoka</t>
  </si>
  <si>
    <t>udział % panelu o szerokości 501mm*</t>
  </si>
  <si>
    <t>szac.</t>
  </si>
  <si>
    <t>przechodząc do kolejnego arkusza</t>
  </si>
  <si>
    <t xml:space="preserve">Jeśli chcesz poglądowo oszacować zapotrzebowanie na poszczególne elementy </t>
  </si>
  <si>
    <t>Uwagi:</t>
  </si>
  <si>
    <t>Rurowy zestaw barier przeciwśniegowych 240cm do panelu na rąbek STAL (4 rury, 5 wsporników, 4 zaślepki, 2 łączniki, 4 blokady, komplet śrub)</t>
  </si>
  <si>
    <t>KOMUNIKACJA DACHOWA</t>
  </si>
  <si>
    <t>BARIERY PRZECIWŚNIEGOWE</t>
  </si>
  <si>
    <t>suma</t>
  </si>
  <si>
    <t>dla ZAMÓWIENIA nr</t>
  </si>
  <si>
    <r>
      <t xml:space="preserve">Pow. 
</t>
    </r>
    <r>
      <rPr>
        <sz val="9"/>
        <color indexed="63"/>
        <rFont val="Gilroy-Medium"/>
        <charset val="238"/>
      </rPr>
      <t>[m2]</t>
    </r>
  </si>
  <si>
    <r>
      <t xml:space="preserve">Długość panelu </t>
    </r>
    <r>
      <rPr>
        <sz val="9"/>
        <rFont val="Gilroy-Medium"/>
        <charset val="238"/>
      </rPr>
      <t>[mm]</t>
    </r>
  </si>
  <si>
    <r>
      <t>Ilość arkuszy</t>
    </r>
    <r>
      <rPr>
        <sz val="9"/>
        <rFont val="Gilroy-Medium"/>
        <charset val="238"/>
      </rPr>
      <t xml:space="preserve"> [szt.]</t>
    </r>
  </si>
  <si>
    <t>CENY NETTO PLN/M2 EFEKT.</t>
  </si>
  <si>
    <t>CENY NETTO 
PLN/SZT.</t>
  </si>
  <si>
    <t>1110-000-716S-RZL000</t>
  </si>
  <si>
    <t>1110-000-905S-RZL000</t>
  </si>
  <si>
    <t>1110-000-716S-RZP000</t>
  </si>
  <si>
    <t>1110-000-905S-RZP000</t>
  </si>
  <si>
    <t>3320-035-716U-WTX250</t>
  </si>
  <si>
    <t>3320-035-905P-WTX250</t>
  </si>
  <si>
    <t>3320-035-721P-WTX250</t>
  </si>
  <si>
    <t>3330-125-716U-BPF000</t>
  </si>
  <si>
    <t>3330-125-716R-BPF000</t>
  </si>
  <si>
    <t>3330-125-905R-BPF000</t>
  </si>
  <si>
    <t>3330-125-817R-BPF000</t>
  </si>
  <si>
    <t>3341-220-716U-GSR200</t>
  </si>
  <si>
    <t>3341-220-716R-GSR200</t>
  </si>
  <si>
    <t>3341-220-905R-GSR200</t>
  </si>
  <si>
    <t>3341-220-817R-GSR200</t>
  </si>
  <si>
    <t>3341-220-716M-GSR200</t>
  </si>
  <si>
    <t>3341-220-905M-GSR200</t>
  </si>
  <si>
    <t>3341-293-716U-GSR200</t>
  </si>
  <si>
    <t>3341-293-716R-GSR200</t>
  </si>
  <si>
    <t>3341-293-905R-GSR200</t>
  </si>
  <si>
    <t>3341-293-716M-GSR200</t>
  </si>
  <si>
    <t>3341-293-905M-GSR200</t>
  </si>
  <si>
    <t>3341-220-716U-WTA200</t>
  </si>
  <si>
    <t>3341-220-716R-WTA200</t>
  </si>
  <si>
    <t>3341-220-905R-WTA200</t>
  </si>
  <si>
    <t>3341-220-817R-WTA200</t>
  </si>
  <si>
    <t>3341-220-716M-WTA200</t>
  </si>
  <si>
    <t>3341-220-905M-WTA200</t>
  </si>
  <si>
    <t>3331-000-716U-WTP200</t>
  </si>
  <si>
    <t>3331-000-716R-WTP200</t>
  </si>
  <si>
    <t>3331-000-905R-WTP200</t>
  </si>
  <si>
    <t>3331-000-817R-WTP200</t>
  </si>
  <si>
    <t>3331-000-716M-WTP200</t>
  </si>
  <si>
    <t>3331-000-905M-WTP200</t>
  </si>
  <si>
    <t>3340-000-716U-LSP027</t>
  </si>
  <si>
    <t>3340-000-716R-LSP027</t>
  </si>
  <si>
    <t>3340-000-905R-LSP027</t>
  </si>
  <si>
    <t>3340-000-817R-LSP027</t>
  </si>
  <si>
    <t>3340-000-716M-LSP027</t>
  </si>
  <si>
    <t>3340-000-905M-LSP027</t>
  </si>
  <si>
    <t>3340-000-716U-LSP048</t>
  </si>
  <si>
    <t>3340-000-716R-LSP048</t>
  </si>
  <si>
    <t>3340-000-905R-LSP048</t>
  </si>
  <si>
    <t>3340-000-817R-LSP048</t>
  </si>
  <si>
    <t>3340-000-716M-LSP048</t>
  </si>
  <si>
    <t>3340-000-905M-LSP048</t>
  </si>
  <si>
    <t>3340-000-716M-LSE200</t>
  </si>
  <si>
    <t>3340-000-905M-LSE200</t>
  </si>
  <si>
    <t>1110-000-716U-LJE200</t>
  </si>
  <si>
    <t>1110-000-716R-LJE200</t>
  </si>
  <si>
    <t>1110-000-905R-LJE200</t>
  </si>
  <si>
    <t>1110-000-716M-LJE200</t>
  </si>
  <si>
    <t>1110-000-905M-LJE200</t>
  </si>
  <si>
    <t>1110-000-716U-PDE200</t>
  </si>
  <si>
    <t>1110-000-716R-PDE200</t>
  </si>
  <si>
    <t>1110-000-905R-PDE200</t>
  </si>
  <si>
    <t>1110-000-716M-PDE200</t>
  </si>
  <si>
    <t>1110-000-905M-PDE200</t>
  </si>
  <si>
    <t>3320-000-716U-FZA100</t>
  </si>
  <si>
    <t>3320-000-905M-FZA100</t>
  </si>
  <si>
    <t>3320-000-817R-FZA100</t>
  </si>
  <si>
    <t>3320-000-716M-FZA100</t>
  </si>
  <si>
    <t>1111-190-716M-RYN400</t>
  </si>
  <si>
    <t>1111-190-905M-RYN400</t>
  </si>
  <si>
    <t>1111-190-716M-WSP004</t>
  </si>
  <si>
    <t>1111-190-905M-WSP004</t>
  </si>
  <si>
    <t>1111-190-716M-OPB080</t>
  </si>
  <si>
    <t>1111-190-905M-OPB080</t>
  </si>
  <si>
    <t>1111-190-716M-OPO080</t>
  </si>
  <si>
    <t>1111-190-905M-OPO080</t>
  </si>
  <si>
    <t>1111-190-716M-RYL058</t>
  </si>
  <si>
    <t>1111-190-905M-RYL058</t>
  </si>
  <si>
    <t>1111-190-716M-ZUS000</t>
  </si>
  <si>
    <t>1111-190-905M-ZUS000</t>
  </si>
  <si>
    <t>1022-080-721S-KOL067</t>
  </si>
  <si>
    <t>1022-080-905S-KOL067</t>
  </si>
  <si>
    <t>1062-080-905S-KEL000</t>
  </si>
  <si>
    <t>1022-080-721S-RUR400</t>
  </si>
  <si>
    <t>1022-080-905S-RUR400</t>
  </si>
  <si>
    <t>1062-080-721S-MUF000</t>
  </si>
  <si>
    <t>1062-080-905S-MUF000</t>
  </si>
  <si>
    <t>1022-080-721S-OBS000</t>
  </si>
  <si>
    <t>1022-080-905S-OBS000</t>
  </si>
  <si>
    <t>1110-000-716U-PSZ200</t>
  </si>
  <si>
    <t>1110-000-716R-PSZ200</t>
  </si>
  <si>
    <t>1110-000-905R-PSZ200</t>
  </si>
  <si>
    <t>1110-000-716M-PSZ200</t>
  </si>
  <si>
    <t>1110-000-905M-PSZ200</t>
  </si>
  <si>
    <t>1110-000-716U-PAZ200</t>
  </si>
  <si>
    <t>1110-000-716R-PAZ200</t>
  </si>
  <si>
    <t>1110-000-905R-PAZ200</t>
  </si>
  <si>
    <t>1110-000-716M-PAZ200</t>
  </si>
  <si>
    <t>1110-000-905M-PAZ200</t>
  </si>
  <si>
    <t>1110-000-716U-POS200</t>
  </si>
  <si>
    <t>1110-000-716R-POS200</t>
  </si>
  <si>
    <t>1110-000-905R-POS200</t>
  </si>
  <si>
    <t>1110-000-716M-POS200</t>
  </si>
  <si>
    <t>1110-000-905M-POS200</t>
  </si>
  <si>
    <t>1110-000-716M-POW200</t>
  </si>
  <si>
    <t>1110-000-905M-POW200</t>
  </si>
  <si>
    <t>1110-000-716U-PON200</t>
  </si>
  <si>
    <t>1110-000-716R-PON200</t>
  </si>
  <si>
    <t>1110-000-905R-PON200</t>
  </si>
  <si>
    <t>1110-000-716M-PON200</t>
  </si>
  <si>
    <t>1110-000-905M-PON200</t>
  </si>
  <si>
    <t>1110-000-716M-LOJ200</t>
  </si>
  <si>
    <t>1110-000-905M-LOJ200</t>
  </si>
  <si>
    <t>3000-000-716S-KZR060</t>
  </si>
  <si>
    <t>3000-000-905S-KZR060</t>
  </si>
  <si>
    <t>3000-000-716S-KZR120</t>
  </si>
  <si>
    <t>3000-000-905S-KZR120</t>
  </si>
  <si>
    <t>3000-000-716S-LWR000</t>
  </si>
  <si>
    <t>3000-000-905S-LWR000</t>
  </si>
  <si>
    <t>3000-000-716S-LLU000</t>
  </si>
  <si>
    <t>3000-000-905S-LLU000</t>
  </si>
  <si>
    <t>3000-000-716S-LKU040</t>
  </si>
  <si>
    <t>3000-000-905S-LKU040</t>
  </si>
  <si>
    <t>3000-000-716S-LKU060</t>
  </si>
  <si>
    <t>3000-000-905S-LKU060</t>
  </si>
  <si>
    <t>3000-000-716S-LKU080</t>
  </si>
  <si>
    <t>3000-000-905S-LKU080</t>
  </si>
  <si>
    <t>3000-000-716S-LKU120</t>
  </si>
  <si>
    <t>3000-000-905S-LKU120</t>
  </si>
  <si>
    <t>3000-000-716S-LKU200</t>
  </si>
  <si>
    <t>3000-000-905S-LKU200</t>
  </si>
  <si>
    <t>1004-000-000X-KGS000</t>
  </si>
  <si>
    <t>1004-000-000X-KRT000</t>
  </si>
  <si>
    <t>1004-000-000X-KCW000</t>
  </si>
  <si>
    <t>1004-000-000X-KCT000</t>
  </si>
  <si>
    <t>1004-000-000X-KPZ000</t>
  </si>
  <si>
    <t>1004-000-000X-TRK000</t>
  </si>
  <si>
    <t>1004-000-000X-LIW000</t>
  </si>
  <si>
    <t>3000-000-716S-ZZR240</t>
  </si>
  <si>
    <t>3000-000-905S-ZZR240</t>
  </si>
  <si>
    <t>3000-000-716S-ZZR360</t>
  </si>
  <si>
    <t>3000-000-905S-ZZR360</t>
  </si>
  <si>
    <t>3000-000-716S-ZWR000</t>
  </si>
  <si>
    <t>3000-000-905S-ZWR000</t>
  </si>
  <si>
    <t>3000-000-716S-ZRU120</t>
  </si>
  <si>
    <t>3000-000-905S-ZRU120</t>
  </si>
  <si>
    <t>3000-000-716S-ZRU200</t>
  </si>
  <si>
    <t>3000-000-905S-ZRU200</t>
  </si>
  <si>
    <t>3000-000-716S-ZBU000</t>
  </si>
  <si>
    <t>3000-000-905S-ZBU000</t>
  </si>
  <si>
    <t>3000-000-905S-ZLU000</t>
  </si>
  <si>
    <t>3000-000-905S-ZZU000</t>
  </si>
  <si>
    <t>3341-293-817R-GSR200</t>
  </si>
  <si>
    <t>3330-125-905U-BPF000</t>
  </si>
  <si>
    <t>3341-220-905U-GSR200</t>
  </si>
  <si>
    <t>3341-293-905U-GSR200</t>
  </si>
  <si>
    <t>3341-220-905U-WTA200</t>
  </si>
  <si>
    <t>3331-000-905U-WTP200</t>
  </si>
  <si>
    <t>3340-000-905U-LSP027</t>
  </si>
  <si>
    <t>3340-000-905U-LSP048</t>
  </si>
  <si>
    <t>1110-000-905U-LJE200</t>
  </si>
  <si>
    <t>3351-501-716R-MPP200</t>
  </si>
  <si>
    <t>3351-501-716R-MPP100</t>
  </si>
  <si>
    <t>3351-501-716R-SPP200</t>
  </si>
  <si>
    <t>3351-501-716R-SPP100</t>
  </si>
  <si>
    <t>3351-501-905R-MPP200</t>
  </si>
  <si>
    <t>3351-501-905R-MPP100</t>
  </si>
  <si>
    <t>3351-501-905R-SPP200</t>
  </si>
  <si>
    <t>3351-501-905R-SPP100</t>
  </si>
  <si>
    <t>3351-501-817R-MPP200</t>
  </si>
  <si>
    <t>3351-501-817R-MPP100</t>
  </si>
  <si>
    <t>3351-501-817R-SPP200</t>
  </si>
  <si>
    <t>3351-501-817R-SPP100</t>
  </si>
  <si>
    <t>3351-501-716M-MPP200</t>
  </si>
  <si>
    <t>3351-501-905M-MPP200</t>
  </si>
  <si>
    <t>3351-501-716M-MPP100</t>
  </si>
  <si>
    <t>3351-501-905M-MPP100</t>
  </si>
  <si>
    <t>3351-501-716M-SPP200</t>
  </si>
  <si>
    <t>3351-501-905M-SPP200</t>
  </si>
  <si>
    <t>3351-501-716M-SPP100</t>
  </si>
  <si>
    <t>3351-501-905M-SPP100</t>
  </si>
  <si>
    <t>3341-000-716U-PSN200</t>
  </si>
  <si>
    <t>3341-000-905U-PSN200</t>
  </si>
  <si>
    <t>3341-000-716R-PSN200</t>
  </si>
  <si>
    <t>3341-000-905R-PSN200</t>
  </si>
  <si>
    <t>3341-000-817R-PSN200</t>
  </si>
  <si>
    <t>3341-000-716M-PSN200</t>
  </si>
  <si>
    <t>3341-000-905M-PSN200</t>
  </si>
  <si>
    <t>3341-000-716U-PSW200</t>
  </si>
  <si>
    <t>3341-000-905U-PSW200</t>
  </si>
  <si>
    <t>3341-000-716R-PSW200</t>
  </si>
  <si>
    <t>3341-000-905R-PSW200</t>
  </si>
  <si>
    <t>3341-000-817R-PSW200</t>
  </si>
  <si>
    <t>3341-000-716M-PSW200</t>
  </si>
  <si>
    <t>3341-000-905M-PSW200</t>
  </si>
  <si>
    <t>3341-000-716U-WTA200</t>
  </si>
  <si>
    <t>3341-000-905U-WTA200</t>
  </si>
  <si>
    <t>3341-000-716R-WTA200</t>
  </si>
  <si>
    <t>3341-000-905R-WTA200</t>
  </si>
  <si>
    <t>3341-000-817R-WTA200</t>
  </si>
  <si>
    <t>3341-000-716M-WTA200</t>
  </si>
  <si>
    <t>3341-000-905M-WTA200</t>
  </si>
  <si>
    <t>3340-000-716U-LSP200</t>
  </si>
  <si>
    <t>3340-000-905U-LSP200</t>
  </si>
  <si>
    <t>3340-000-716R-LSP200</t>
  </si>
  <si>
    <t>3340-000-905R-LSP200</t>
  </si>
  <si>
    <t>3340-000-817R-LSP200</t>
  </si>
  <si>
    <t>3340-000-716M-LSP200</t>
  </si>
  <si>
    <t>3340-000-905M-LSP200</t>
  </si>
  <si>
    <t>3320-000-716R-FZA100</t>
  </si>
  <si>
    <t>3320-035-817R-WTX250</t>
  </si>
  <si>
    <t>3320-020-716U-WTZ250</t>
  </si>
  <si>
    <t>3320-020-905P-WTZ250</t>
  </si>
  <si>
    <t>3320-020-817R-WTZ250</t>
  </si>
  <si>
    <t>3320-020-721P-WTZ250</t>
  </si>
  <si>
    <t>3320-035-716U-WFR250</t>
  </si>
  <si>
    <t>3320-035-905P-WFR250</t>
  </si>
  <si>
    <t>3320-035-817R-WFR250</t>
  </si>
  <si>
    <t>3320-035-721P-WFR250</t>
  </si>
  <si>
    <t>1110-000-905U-POS200</t>
  </si>
  <si>
    <t>1110-000-817R-POS200</t>
  </si>
  <si>
    <t>1110-000-905U-PON200</t>
  </si>
  <si>
    <t>1110-000-817R-PON200</t>
  </si>
  <si>
    <t>1022-080-721S-KOBXXX</t>
  </si>
  <si>
    <t>1022-080-905S-KOBXXX</t>
  </si>
  <si>
    <t xml:space="preserve">Indeksy domyślne dla wybranego 
Koloru i powłoki
</t>
  </si>
  <si>
    <t>Wycena szacunkowa wg PARAMERTÓW INWESTYCJI</t>
  </si>
  <si>
    <t>PARAMETRY INWESTYCJI:</t>
  </si>
  <si>
    <t>wyszuk</t>
  </si>
  <si>
    <r>
      <rPr>
        <sz val="10"/>
        <rFont val="Arial"/>
        <family val="2"/>
        <charset val="238"/>
      </rPr>
      <t xml:space="preserve"> Wymiar </t>
    </r>
    <r>
      <rPr>
        <b/>
        <sz val="10"/>
        <color indexed="17"/>
        <rFont val="Arial"/>
        <family val="2"/>
        <charset val="238"/>
      </rPr>
      <t>E</t>
    </r>
    <r>
      <rPr>
        <b/>
        <sz val="9"/>
        <color indexed="23"/>
        <rFont val="Gilroy-Medium"/>
        <charset val="238"/>
      </rPr>
      <t xml:space="preserve"> </t>
    </r>
    <r>
      <rPr>
        <sz val="9"/>
        <color indexed="23"/>
        <rFont val="Gilroy-Medium"/>
        <charset val="238"/>
      </rPr>
      <t>(wys. podbitka okap)</t>
    </r>
  </si>
  <si>
    <t>Powierzchnia połaci efektywna</t>
  </si>
  <si>
    <t>Ilość pionów spustowych na połać</t>
  </si>
  <si>
    <t>Panel NA WYMIAR</t>
  </si>
  <si>
    <t>Kod</t>
  </si>
  <si>
    <t>szer panelu [m]</t>
  </si>
  <si>
    <t>Wsp czy liczyć</t>
  </si>
  <si>
    <t>Panel m2</t>
  </si>
  <si>
    <t>Sztuk paneli danego rodz. na 1 połaci</t>
  </si>
  <si>
    <t>%</t>
  </si>
  <si>
    <t>Il. paneli  na 1 połaci * % danego panelu</t>
  </si>
  <si>
    <t>Il. paneli  na x połaci * % danego panelu</t>
  </si>
  <si>
    <t>Il. m2 na połacie,  elewacja , podbitka z panelu</t>
  </si>
  <si>
    <t>Pokrycie długości dachu przewidzianymi panelami 1połać</t>
  </si>
  <si>
    <t>pokrycie połaci</t>
  </si>
  <si>
    <t>weryf</t>
  </si>
  <si>
    <t>Panel do rynny</t>
  </si>
  <si>
    <t>Panel za rynną</t>
  </si>
  <si>
    <t>Panel na elewację</t>
  </si>
  <si>
    <t>Panel na podbitkę</t>
  </si>
  <si>
    <t>RAZEM</t>
  </si>
  <si>
    <t>3341-501-_-RPP000</t>
  </si>
  <si>
    <t>3341-292-_-RPP000</t>
  </si>
  <si>
    <t>Rąbek na wymiar</t>
  </si>
  <si>
    <t>Okap wykończenie</t>
  </si>
  <si>
    <t>podbitka rąbek</t>
  </si>
  <si>
    <t>Panel MODUŁOWY</t>
  </si>
  <si>
    <t>dł panelu [m]</t>
  </si>
  <si>
    <t xml:space="preserve">Il. paneli  na 1 połaci </t>
  </si>
  <si>
    <t>Il. paneli na x połaci</t>
  </si>
  <si>
    <t>weryf pokrycia dł kalenicy</t>
  </si>
  <si>
    <t>Moduł do rynny</t>
  </si>
  <si>
    <t>zapotrzeb na rząd z SPP100</t>
  </si>
  <si>
    <t>zapotrzeb na rząd z SPP200</t>
  </si>
  <si>
    <t>m2</t>
  </si>
  <si>
    <t>weryf pokrycia pow. Dachu</t>
  </si>
  <si>
    <t>Moduł na elewację</t>
  </si>
  <si>
    <t>weryf pokrycia pow. Elew</t>
  </si>
  <si>
    <t>duży</t>
  </si>
  <si>
    <t>Elementy</t>
  </si>
  <si>
    <t>wym. elem.</t>
  </si>
  <si>
    <t>hlp1</t>
  </si>
  <si>
    <t>hlp2</t>
  </si>
  <si>
    <t>hlp3</t>
  </si>
  <si>
    <t>Wsp. 
(np. zapas)</t>
  </si>
  <si>
    <t>Szacunek</t>
  </si>
  <si>
    <t>?</t>
  </si>
  <si>
    <t>nie było w ofertowniku DR</t>
  </si>
  <si>
    <t>użyty wsp. 3,33</t>
  </si>
  <si>
    <t>OKAPOWY</t>
  </si>
  <si>
    <t>Odpływ bezokapowy do dodania przy opcji wybrania typu dachu</t>
  </si>
  <si>
    <t>okapowy</t>
  </si>
  <si>
    <t>okapowy z panelem jako podbitka Jacek 8.01.2025</t>
  </si>
  <si>
    <t>okapowy z panelem jako podbitka</t>
  </si>
  <si>
    <t>KABLE GRZEJNE</t>
  </si>
  <si>
    <t>kable grzejne i akcesoria</t>
  </si>
  <si>
    <t>D</t>
  </si>
  <si>
    <t>1000-016-000X-WOS000</t>
  </si>
  <si>
    <t>Wkręt ocynkowany samowiercący do połączenia stal-stal 4,2x16mm (op. 1000szt)</t>
  </si>
  <si>
    <t>OF</t>
  </si>
  <si>
    <t>nie było w druku</t>
  </si>
  <si>
    <t>1110-000-_-LJE200</t>
  </si>
  <si>
    <t>1110-000-_-PDE200</t>
  </si>
  <si>
    <t>Listwa typu J do łączenia panelu dachowego z elewacyjnym 200cm STAL</t>
  </si>
  <si>
    <t>Pas startowy wentylacyjny do łączenia panelu dachowego z elewacyjnym 200cm STAL</t>
  </si>
  <si>
    <t>1110-000-817R-LJE200</t>
  </si>
  <si>
    <t>1110-000-905U-PDE200</t>
  </si>
  <si>
    <t>1110-000-817R-PDE200</t>
  </si>
  <si>
    <t>1111-190-_-OPB080</t>
  </si>
  <si>
    <t>Odpływ bezokapowy 190mm/80x70mm/320mm STAL</t>
  </si>
  <si>
    <t>1110-000-_-PSZ200</t>
  </si>
  <si>
    <t>1110-000-_-PAZ200</t>
  </si>
  <si>
    <t>Pas skroplinowy zaginany 200cm STAL</t>
  </si>
  <si>
    <t>Pas startowy wentylacyjny zaginany do panelu dachowego na rąbek 200cm STAL</t>
  </si>
  <si>
    <t>1113-100-000X-PAP000</t>
  </si>
  <si>
    <t>1113-100-000X-PAZ000</t>
  </si>
  <si>
    <t>Profil zamknięty podcięty 100x50mm [Aluminium] - jedn. sprzedaży mb</t>
  </si>
  <si>
    <t>Profil zamknięty 100x50mm [Aluminium] - jedn. sprzedaży mb</t>
  </si>
  <si>
    <t>* W celu realizacji zamówienia dla profili 1113-100-000X-PAZ000 należy mailowo podać ilość i długość profili, 
podając w tym druku jedynie całkowitą ilość mb profilu</t>
  </si>
  <si>
    <t>* W celu realizacji zamówienia dla profili 1113-100-000X-PAP000 należy mailowo podać ilość i długość profili, 
podając w tym druku jedynie całkowitą ilość mb profilu</t>
  </si>
  <si>
    <t>1113-000-000X-KAE200</t>
  </si>
  <si>
    <t xml:space="preserve">Konsola elewacyjna 200mm [Aluminium] </t>
  </si>
  <si>
    <t>1113-050-000X-PAK200</t>
  </si>
  <si>
    <t>1113-050-000X-PAK100</t>
  </si>
  <si>
    <t xml:space="preserve">Kątownik do podkonstrukcji elewacyjnej 50x50mm 200cm [Aluminium] </t>
  </si>
  <si>
    <t xml:space="preserve">Kątownik do podkonstrukcji elewacyjnej 50x50mm 100cm [Aluminium] </t>
  </si>
  <si>
    <t>1110-020-000X-WNK500</t>
  </si>
  <si>
    <t>Wkręty nierdzewne konsola-kątownik 5,5x20mm (op. 500szt.)</t>
  </si>
  <si>
    <t>1110-100-716S-MPV020</t>
  </si>
  <si>
    <t>Membrana PVC Protan SE rolka 20m/1m/1,2mm - ciemnoszary</t>
  </si>
  <si>
    <r>
      <rPr>
        <b/>
        <sz val="22"/>
        <color indexed="56"/>
        <rFont val="Gilroy ExtraBold"/>
        <family val="3"/>
      </rPr>
      <t>⌂</t>
    </r>
    <r>
      <rPr>
        <b/>
        <sz val="9"/>
        <color indexed="56"/>
        <rFont val="Gilroy-Medium"/>
        <charset val="238"/>
      </rPr>
      <t xml:space="preserve"> elementy wykończenia dachu - DACHRYNNA BEZOKAPOWOWA</t>
    </r>
  </si>
  <si>
    <r>
      <rPr>
        <b/>
        <sz val="12"/>
        <color indexed="56"/>
        <rFont val="Calibri"/>
        <family val="2"/>
        <charset val="238"/>
      </rPr>
      <t>①</t>
    </r>
    <r>
      <rPr>
        <b/>
        <sz val="9"/>
        <color indexed="56"/>
        <rFont val="Gilroy-Medium"/>
        <charset val="238"/>
      </rPr>
      <t xml:space="preserve"> bez rąbka na elewacji</t>
    </r>
  </si>
  <si>
    <r>
      <rPr>
        <b/>
        <sz val="12"/>
        <color indexed="56"/>
        <rFont val="Calibri"/>
        <family val="2"/>
        <charset val="238"/>
      </rPr>
      <t>②</t>
    </r>
    <r>
      <rPr>
        <b/>
        <sz val="9"/>
        <color indexed="56"/>
        <rFont val="Gilroy-Medium"/>
        <charset val="238"/>
      </rPr>
      <t xml:space="preserve"> z rąbkiem na elewacji</t>
    </r>
  </si>
  <si>
    <t>1110-045-000X-WOD250</t>
  </si>
  <si>
    <t>1110-050-000X-WOD250</t>
  </si>
  <si>
    <t>1110-050-000X-WOP100</t>
  </si>
  <si>
    <t>Wkręt ocynkowany samowiercący do połączenia drewno-aluminium [Stal] 4,8x45mm (op. 250szt.)</t>
  </si>
  <si>
    <t>Wkręt ocynkowany do połączenia aluminium-drewno 8x50mm (op. 250szt.)</t>
  </si>
  <si>
    <t>Podkładka ocynkowana do wkrętu 8x50 mm (op. 100 szt.)</t>
  </si>
  <si>
    <t>podkonstrukcja elewacja:</t>
  </si>
  <si>
    <t>akcesoria:</t>
  </si>
  <si>
    <t>1110-000-000X-PMB100</t>
  </si>
  <si>
    <t>1110-013-000X-KMG050</t>
  </si>
  <si>
    <t>1110-004-000X-WKO000</t>
  </si>
  <si>
    <t>Przedłużka magnetyczna do bitów 100 mm</t>
  </si>
  <si>
    <t>Końcówka magnetyczna M13 50mm</t>
  </si>
  <si>
    <t>Wiertło kobaltowe 4mm</t>
  </si>
  <si>
    <t>użyte wsp. 1,66 i 0,83</t>
  </si>
  <si>
    <t>Y/N</t>
  </si>
  <si>
    <t>NIE</t>
  </si>
  <si>
    <t>szacunek</t>
  </si>
  <si>
    <t>druk rabat</t>
  </si>
  <si>
    <t>szac rabat</t>
  </si>
  <si>
    <t>Blacha</t>
  </si>
  <si>
    <t>Kod kolor</t>
  </si>
  <si>
    <t>Wzor</t>
  </si>
  <si>
    <t>Kod wzor</t>
  </si>
  <si>
    <t>Kod podbicie</t>
  </si>
  <si>
    <t>Podbicie</t>
  </si>
  <si>
    <t>gdy uwidocznimy te wiersze może się podpowiadać.</t>
  </si>
  <si>
    <t xml:space="preserve"> Koordyn.</t>
  </si>
  <si>
    <t xml:space="preserve"> ID Klienta</t>
  </si>
  <si>
    <t xml:space="preserve"> Typ zam.</t>
  </si>
  <si>
    <t xml:space="preserve"> Um.</t>
  </si>
  <si>
    <t xml:space="preserve"> Waluta</t>
  </si>
  <si>
    <t xml:space="preserve"> Kod podaży</t>
  </si>
  <si>
    <t>szt. | mb</t>
  </si>
  <si>
    <t>1110-000-905U-PSZ200</t>
  </si>
  <si>
    <t>1110-000-905U-PAZ200</t>
  </si>
  <si>
    <t>1110-000-817R-PSZ200</t>
  </si>
  <si>
    <t>1110-000-817R-PAZ200</t>
  </si>
  <si>
    <t>UNI</t>
  </si>
  <si>
    <t>Regulator temperatury ETR2</t>
  </si>
  <si>
    <t>Czujnik wilgotności ETOR-55</t>
  </si>
  <si>
    <t>Zewnętrzny czujnik temperatury ETF 744</t>
  </si>
  <si>
    <t>Zestaw przyłączeniowy EC-PRO</t>
  </si>
  <si>
    <t>Wieszak do linki DSW-SB-1</t>
  </si>
  <si>
    <t>Kabel grzejny SelfTec PRO 20  [jedn. sprzedaży mb]</t>
  </si>
  <si>
    <t>Mocowanie kabli do rynien kwadratowych RT-IB-1-P [jedn. sprzedaży mb]</t>
  </si>
  <si>
    <t>Wycena na podst. szacunkowego zapotrzebowania:</t>
  </si>
  <si>
    <t>WYKONANIE KALKULACJI</t>
  </si>
  <si>
    <t>Mocowanie kabli do rur spustowych DSC-2 (op. 25szt)</t>
  </si>
  <si>
    <t>1004-000-000X-MRU000</t>
  </si>
  <si>
    <t xml:space="preserve">Linka podtrzymująca do budynków wielokondygnacyjnych DSW-2 20mb (linka posiada mocowania) </t>
  </si>
  <si>
    <t>1004-000-000X-LIN020</t>
  </si>
  <si>
    <t>Zaślepka silikonowa lewa do panelu na rąbek</t>
  </si>
  <si>
    <t>Zaślepka silikonowa prawa do panelu na rąbek</t>
  </si>
  <si>
    <t>25/1</t>
  </si>
  <si>
    <t>W razie nieprawidłowości 
poniżej pojawią się w uwagi</t>
  </si>
  <si>
    <t>U</t>
  </si>
  <si>
    <t>R</t>
  </si>
  <si>
    <t>M</t>
  </si>
  <si>
    <t>Ultramat</t>
  </si>
  <si>
    <t>Rough mat</t>
  </si>
  <si>
    <t>Pural BT mat</t>
  </si>
  <si>
    <t>Specyfi- kacja</t>
  </si>
  <si>
    <r>
      <t xml:space="preserve"> Połacie </t>
    </r>
    <r>
      <rPr>
        <sz val="14"/>
        <color indexed="60"/>
        <rFont val="Calibri"/>
        <family val="2"/>
        <charset val="238"/>
      </rPr>
      <t>*</t>
    </r>
  </si>
  <si>
    <t>Udział % panelu o szer. 501 mm</t>
  </si>
  <si>
    <t>Udział % panelu o szer. 292 mm</t>
  </si>
  <si>
    <t>Wzór</t>
  </si>
  <si>
    <r>
      <t xml:space="preserve"> Wymiar</t>
    </r>
    <r>
      <rPr>
        <sz val="11"/>
        <color indexed="53"/>
        <rFont val="Gilroy-Medium"/>
        <charset val="238"/>
      </rPr>
      <t xml:space="preserve"> </t>
    </r>
    <r>
      <rPr>
        <b/>
        <sz val="11"/>
        <color indexed="53"/>
        <rFont val="Gilroy-Medium"/>
        <charset val="238"/>
      </rPr>
      <t>B2</t>
    </r>
    <r>
      <rPr>
        <sz val="11"/>
        <color indexed="23"/>
        <rFont val="Gilroy-Medium"/>
        <charset val="238"/>
      </rPr>
      <t xml:space="preserve"> (wys. elew. w panelu) [m]</t>
    </r>
  </si>
  <si>
    <t>W arkuszu ZAMÓWIENIE | WYCENA w przypadku braku pozycji wykonanej z wybranej blachy, wycena w kolumnie E liczona jest dla domyślnie stosowanego w takich przypadkach indeksu (informacyjnie jego kod podano w kol. AM)</t>
  </si>
  <si>
    <t>Rodzaj podbitki</t>
  </si>
  <si>
    <r>
      <t xml:space="preserve"> Wymiar</t>
    </r>
    <r>
      <rPr>
        <sz val="11"/>
        <color indexed="8"/>
        <rFont val="Gilroy-Medium"/>
        <charset val="238"/>
      </rPr>
      <t xml:space="preserve"> </t>
    </r>
    <r>
      <rPr>
        <b/>
        <sz val="11"/>
        <color indexed="10"/>
        <rFont val="Gilroy-Medium"/>
        <charset val="238"/>
      </rPr>
      <t xml:space="preserve">A </t>
    </r>
    <r>
      <rPr>
        <sz val="11"/>
        <color indexed="23"/>
        <rFont val="Gilroy-Medium"/>
        <charset val="238"/>
      </rPr>
      <t xml:space="preserve">(dług. kalenicy) [m] </t>
    </r>
    <r>
      <rPr>
        <sz val="14"/>
        <color indexed="60"/>
        <rFont val="Gilroy-Medium"/>
        <charset val="238"/>
      </rPr>
      <t>*</t>
    </r>
  </si>
  <si>
    <r>
      <t xml:space="preserve"> Wymiar</t>
    </r>
    <r>
      <rPr>
        <sz val="11"/>
        <color indexed="51"/>
        <rFont val="Gilroy-Medium"/>
        <charset val="238"/>
      </rPr>
      <t xml:space="preserve"> </t>
    </r>
    <r>
      <rPr>
        <b/>
        <sz val="11"/>
        <color indexed="51"/>
        <rFont val="Gilroy-Medium"/>
        <charset val="238"/>
      </rPr>
      <t>B0</t>
    </r>
    <r>
      <rPr>
        <sz val="11"/>
        <color indexed="53"/>
        <rFont val="Gilroy-Medium"/>
        <charset val="238"/>
      </rPr>
      <t xml:space="preserve"> </t>
    </r>
    <r>
      <rPr>
        <sz val="11"/>
        <color indexed="23"/>
        <rFont val="Gilroy-Medium"/>
        <charset val="238"/>
      </rPr>
      <t xml:space="preserve">(wys. połaci nad rynną) [m] </t>
    </r>
    <r>
      <rPr>
        <sz val="14"/>
        <color indexed="60"/>
        <rFont val="Gilroy-Medium"/>
        <charset val="238"/>
      </rPr>
      <t>*</t>
    </r>
  </si>
  <si>
    <r>
      <rPr>
        <sz val="11"/>
        <rFont val="Gilroy-Medium"/>
        <charset val="238"/>
      </rPr>
      <t xml:space="preserve"> Wymiar </t>
    </r>
    <r>
      <rPr>
        <b/>
        <sz val="11"/>
        <color indexed="30"/>
        <rFont val="Gilroy-Medium"/>
        <charset val="238"/>
      </rPr>
      <t>C</t>
    </r>
    <r>
      <rPr>
        <sz val="11"/>
        <color indexed="23"/>
        <rFont val="Gilroy-Medium"/>
        <charset val="238"/>
      </rPr>
      <t xml:space="preserve"> (wys. bud.) [m] </t>
    </r>
    <r>
      <rPr>
        <sz val="14"/>
        <color indexed="60"/>
        <rFont val="Gilroy-Medium"/>
        <charset val="238"/>
      </rPr>
      <t>*</t>
    </r>
  </si>
  <si>
    <r>
      <t xml:space="preserve"> Wymiar </t>
    </r>
    <r>
      <rPr>
        <b/>
        <sz val="11"/>
        <color indexed="51"/>
        <rFont val="Gilroy-Medium"/>
        <charset val="238"/>
      </rPr>
      <t>B1</t>
    </r>
    <r>
      <rPr>
        <b/>
        <sz val="11"/>
        <color indexed="13"/>
        <rFont val="Gilroy-Medium"/>
        <charset val="238"/>
      </rPr>
      <t xml:space="preserve"> </t>
    </r>
    <r>
      <rPr>
        <sz val="11"/>
        <color indexed="23"/>
        <rFont val="Gilroy-Medium"/>
        <charset val="238"/>
      </rPr>
      <t xml:space="preserve">(wys. połaci pod rynną) [m] </t>
    </r>
    <r>
      <rPr>
        <sz val="14"/>
        <color indexed="60"/>
        <rFont val="Gilroy-Medium"/>
        <charset val="238"/>
      </rPr>
      <t>*</t>
    </r>
  </si>
  <si>
    <t xml:space="preserve">W arkuszu ZAMÓWIENIE | WYCENA w taki graficzny sposób przedstawione jest szacunkowe zapotrzebowanie na poszczególne pozycje </t>
  </si>
  <si>
    <t>Parametry podawane tylko dla rąbka na wymiar:</t>
  </si>
  <si>
    <r>
      <rPr>
        <sz val="14"/>
        <color indexed="60"/>
        <rFont val="Calibri"/>
        <family val="2"/>
        <charset val="238"/>
      </rPr>
      <t>*</t>
    </r>
    <r>
      <rPr>
        <sz val="14"/>
        <color indexed="60"/>
        <rFont val="Gilroy-Medium"/>
        <charset val="238"/>
      </rPr>
      <t xml:space="preserve"> </t>
    </r>
    <r>
      <rPr>
        <i/>
        <sz val="10"/>
        <color indexed="60"/>
        <rFont val="Gilroy-Medium"/>
        <charset val="238"/>
      </rPr>
      <t>parametry nie mogą być zerowe</t>
    </r>
  </si>
  <si>
    <t>Przy wyborze "Rąbek modułowy" pokrycie połaci pod rynną, podbitka oraz opaska elewacyjna szacowana jest w rąbku na wymiar</t>
  </si>
  <si>
    <r>
      <t xml:space="preserve">wartość netto po rabacie </t>
    </r>
    <r>
      <rPr>
        <sz val="12"/>
        <rFont val="Calibri"/>
        <family val="2"/>
        <charset val="238"/>
      </rPr>
      <t>*</t>
    </r>
  </si>
  <si>
    <t>DANE PODSTAWOWE ZAMÓWIENIA</t>
  </si>
  <si>
    <r>
      <rPr>
        <b/>
        <sz val="12"/>
        <color indexed="56"/>
        <rFont val="Calibri"/>
        <family val="2"/>
        <charset val="238"/>
      </rPr>
      <t>❷</t>
    </r>
    <r>
      <rPr>
        <b/>
        <sz val="10"/>
        <color indexed="56"/>
        <rFont val="Gilroy-Medium"/>
        <charset val="238"/>
      </rPr>
      <t xml:space="preserve"> panel dachowy na rąbek GRIN MOD (modułowy)</t>
    </r>
  </si>
  <si>
    <r>
      <rPr>
        <b/>
        <sz val="12"/>
        <color indexed="56"/>
        <rFont val="Calibri"/>
        <family val="2"/>
        <charset val="238"/>
      </rPr>
      <t>❶</t>
    </r>
    <r>
      <rPr>
        <b/>
        <sz val="10"/>
        <color indexed="56"/>
        <rFont val="Calibri"/>
        <family val="2"/>
        <charset val="238"/>
      </rPr>
      <t xml:space="preserve"> </t>
    </r>
    <r>
      <rPr>
        <b/>
        <sz val="10"/>
        <color indexed="56"/>
        <rFont val="Gilroy-Medium"/>
        <charset val="238"/>
      </rPr>
      <t>panel dachowy na rąbek GRIN (na wymiar)</t>
    </r>
  </si>
  <si>
    <r>
      <rPr>
        <b/>
        <sz val="12"/>
        <color indexed="56"/>
        <rFont val="Calibri"/>
        <family val="2"/>
        <charset val="238"/>
      </rPr>
      <t>❸</t>
    </r>
    <r>
      <rPr>
        <b/>
        <sz val="10"/>
        <color indexed="56"/>
        <rFont val="Gilroy-Medium"/>
        <charset val="238"/>
      </rPr>
      <t xml:space="preserve"> pokrycie ciężkie Wienerberger</t>
    </r>
  </si>
  <si>
    <t xml:space="preserve">Listwa wentylacyjna podgąsiorowa do panelu na rąbek
292mm/270mm </t>
  </si>
  <si>
    <r>
      <t xml:space="preserve">CZARNY #                        </t>
    </r>
    <r>
      <rPr>
        <sz val="10"/>
        <rFont val="Gilroy-Medium"/>
        <charset val="238"/>
      </rPr>
      <t>~RAL 9005</t>
    </r>
  </si>
  <si>
    <r>
      <t xml:space="preserve">BRĄZ                         </t>
    </r>
    <r>
      <rPr>
        <sz val="10"/>
        <rFont val="Gilroy-Medium"/>
        <charset val="238"/>
      </rPr>
      <t>~RAL 8017</t>
    </r>
  </si>
  <si>
    <r>
      <t>mata antykondens.</t>
    </r>
    <r>
      <rPr>
        <sz val="9"/>
        <color indexed="23"/>
        <rFont val="Gilroy-Medium"/>
        <charset val="238"/>
      </rPr>
      <t xml:space="preserve"> </t>
    </r>
  </si>
  <si>
    <t>SPECYFIKACJA MATERIAŁOWA PANELU DACHOWEGO GRIN z dnia:</t>
  </si>
  <si>
    <t>szer. 501 mm</t>
  </si>
  <si>
    <t>szer. 292 mm</t>
  </si>
  <si>
    <r>
      <rPr>
        <b/>
        <sz val="9"/>
        <rFont val="Gilroy-Medium"/>
        <charset val="238"/>
      </rPr>
      <t xml:space="preserve">Zagięcie pod pas startowy </t>
    </r>
    <r>
      <rPr>
        <sz val="9"/>
        <rFont val="Gilroy-Medium"/>
        <charset val="238"/>
      </rPr>
      <t xml:space="preserve">
( wybierz Tak/Nie )</t>
    </r>
  </si>
  <si>
    <r>
      <t>Administratorem Twoich danych osobowych jest</t>
    </r>
    <r>
      <rPr>
        <sz val="9"/>
        <color indexed="23"/>
        <rFont val="Gilroy-Medium"/>
        <charset val="238"/>
      </rPr>
      <t xml:space="preserve"> </t>
    </r>
    <r>
      <rPr>
        <b/>
        <sz val="9"/>
        <color indexed="23"/>
        <rFont val="Gilroy-Medium"/>
        <charset val="238"/>
      </rPr>
      <t>GALECO Sp. z o.o.</t>
    </r>
    <r>
      <rPr>
        <sz val="9"/>
        <color indexed="23"/>
        <rFont val="Gilroy-Medium"/>
        <charset val="238"/>
      </rPr>
      <t xml:space="preserve"> z siedzibą w Balicach, ul. Uśmiechu 1, 32-083 Balice, wpisana do rejestru przedsiębiorców Krajowego Rejestru Sądowego pod numerem KRS: 0000102185, której akta rejestrowe prowadzone są przez Sąd Rejonowy dla Krakowa - Śródmieścia w  Krakowie, XII Wydział Gospodarczy KRS, posiadająca NIP: 6792594371, o kapitale zakładowym w wysokości 400.000,00 zł (czterysta tysięcy złotych), dalej jako: </t>
    </r>
    <r>
      <rPr>
        <b/>
        <sz val="9"/>
        <color indexed="23"/>
        <rFont val="Gilroy-Medium"/>
        <charset val="238"/>
      </rPr>
      <t>Galeco</t>
    </r>
    <r>
      <rPr>
        <sz val="9"/>
        <color indexed="23"/>
        <rFont val="Gilroy-Medium"/>
        <charset val="238"/>
      </rPr>
      <t>. Twoje dane osobowe będą przetwarzane m.in. w celu: przyjęcia i realizacji Twojego zamówienia, rozpatrywania ewentualnych reklamacji i wniosków dotyczących gwarancji, a także wykonywania przez Galeco obowiązków podatkowych i księgowych. Pozostałe informacje o przetwarzaniu Twoich danych osobowych zostały przedstawione w Polityce Prywatności i Plików Cookies dostępnej na stronie www.galeco.pl.</t>
    </r>
  </si>
  <si>
    <t>O dostępność i termin realizacji proszę pytać w Biurach Handlowych Galeco</t>
  </si>
  <si>
    <r>
      <t>AKCESORIA</t>
    </r>
    <r>
      <rPr>
        <b/>
        <i/>
        <sz val="12"/>
        <color indexed="9"/>
        <rFont val="Calibri"/>
        <family val="2"/>
        <charset val="238"/>
      </rPr>
      <t>*</t>
    </r>
  </si>
  <si>
    <r>
      <rPr>
        <i/>
        <sz val="11"/>
        <color indexed="63"/>
        <rFont val="Calibri"/>
        <family val="2"/>
        <charset val="238"/>
      </rPr>
      <t>*</t>
    </r>
    <r>
      <rPr>
        <i/>
        <sz val="10"/>
        <color indexed="63"/>
        <rFont val="Gilroy-Medium"/>
        <charset val="238"/>
      </rPr>
      <t xml:space="preserve">pasujące akcesoria mogą posiadać inne kody koloru niż blachy (patrz tabela w kol. AE-AK)
</t>
    </r>
  </si>
  <si>
    <t>podkonstrukcja do rynny połaciowej</t>
  </si>
  <si>
    <r>
      <t>Kolano boczne nietypowe PVC</t>
    </r>
    <r>
      <rPr>
        <sz val="10"/>
        <rFont val="Calibri"/>
        <family val="2"/>
        <charset val="238"/>
      </rPr>
      <t>**</t>
    </r>
  </si>
  <si>
    <t>Klej agresywny do PVC z pędzelkiem 125 ml</t>
  </si>
  <si>
    <t>1000-000-000X-KJP125</t>
  </si>
  <si>
    <r>
      <rPr>
        <i/>
        <sz val="10"/>
        <color indexed="63"/>
        <rFont val="Calibri"/>
        <family val="2"/>
        <charset val="238"/>
      </rPr>
      <t>***</t>
    </r>
    <r>
      <rPr>
        <i/>
        <sz val="9"/>
        <color indexed="63"/>
        <rFont val="Calibri"/>
        <family val="2"/>
        <charset val="238"/>
      </rPr>
      <t xml:space="preserve"> 1</t>
    </r>
    <r>
      <rPr>
        <i/>
        <sz val="9"/>
        <color indexed="63"/>
        <rFont val="Gilroy-Medium"/>
        <charset val="238"/>
      </rPr>
      <t>00% szczelności połączenia po 24 godzinach tylko przy zastosowaniu powyższego kleju.</t>
    </r>
  </si>
  <si>
    <r>
      <rPr>
        <i/>
        <sz val="10"/>
        <color indexed="63"/>
        <rFont val="Calibri"/>
        <family val="2"/>
        <charset val="238"/>
      </rPr>
      <t>**</t>
    </r>
    <r>
      <rPr>
        <i/>
        <sz val="9"/>
        <color indexed="63"/>
        <rFont val="Calibri"/>
        <family val="2"/>
        <charset val="238"/>
      </rPr>
      <t xml:space="preserve"> </t>
    </r>
    <r>
      <rPr>
        <i/>
        <sz val="8"/>
        <color indexed="63"/>
        <rFont val="Gilroy-Medium"/>
        <charset val="238"/>
      </rPr>
      <t xml:space="preserve">Dostępne na zamówienie. Czas realizacji do 10 dni roboczych. Do ceny należy doliczyć koszty wysyłki. Informacje dostępne w Biurach Handlowych Galeco. </t>
    </r>
  </si>
  <si>
    <t>Rabaty dotyczą określonych Grup Rabatowych A/B/C/D ( wskazanych dla każdej pozycji w kol. N )</t>
  </si>
  <si>
    <r>
      <t xml:space="preserve">dla inwestycji z DACHRYNNĄ - uzupełnij poniższe </t>
    </r>
    <r>
      <rPr>
        <b/>
        <i/>
        <sz val="11"/>
        <color indexed="60"/>
        <rFont val="Gilroy-Medium"/>
        <charset val="238"/>
      </rPr>
      <t>PARAMETRY INWESTYCJI</t>
    </r>
  </si>
  <si>
    <t>E</t>
  </si>
  <si>
    <t xml:space="preserve">  Pokrycie - rabat A  </t>
  </si>
  <si>
    <t xml:space="preserve"> Blacha płaska - rabat B  </t>
  </si>
  <si>
    <t xml:space="preserve">Obróbki i akcesoria - rabat C  </t>
  </si>
  <si>
    <t xml:space="preserve">Syst. Rynnowy i akcesoria - rabat D  </t>
  </si>
  <si>
    <t xml:space="preserve">Bariery przeciwśniegowe i komunikacja dachowa - rabat E  </t>
  </si>
  <si>
    <t xml:space="preserve">Kable grzejne - rabat F  </t>
  </si>
  <si>
    <r>
      <rPr>
        <sz val="11"/>
        <rFont val="Gilroy-Medium"/>
        <charset val="238"/>
      </rPr>
      <t xml:space="preserve"> Wymiar</t>
    </r>
    <r>
      <rPr>
        <b/>
        <sz val="11"/>
        <color indexed="17"/>
        <rFont val="Gilroy-Medium"/>
        <charset val="238"/>
      </rPr>
      <t xml:space="preserve"> </t>
    </r>
    <r>
      <rPr>
        <b/>
        <sz val="11"/>
        <color indexed="11"/>
        <rFont val="Gilroy-Medium"/>
        <charset val="238"/>
      </rPr>
      <t>E</t>
    </r>
    <r>
      <rPr>
        <b/>
        <sz val="11"/>
        <color indexed="17"/>
        <rFont val="Gilroy-Medium"/>
        <charset val="238"/>
      </rPr>
      <t xml:space="preserve"> </t>
    </r>
    <r>
      <rPr>
        <sz val="11"/>
        <color indexed="23"/>
        <rFont val="Gilroy-Medium"/>
        <charset val="238"/>
      </rPr>
      <t>(wys. podbitka okap) [m]</t>
    </r>
  </si>
  <si>
    <t>podbitka nie z panelu na rąbek</t>
  </si>
  <si>
    <r>
      <t xml:space="preserve">Uzupełnij ark. Specyfikacja podając ilość i długość paneli oraz ich wersję (z/bez zagięcia panelu startowego)  </t>
    </r>
    <r>
      <rPr>
        <sz val="10"/>
        <color indexed="63"/>
        <rFont val="Gilroy-Medium"/>
        <charset val="238"/>
      </rPr>
      <t xml:space="preserve">[zagięcie od dołu umożliwia montaż paneli na pasie startowym od prawej do lewej strony dachu]
</t>
    </r>
  </si>
  <si>
    <r>
      <rPr>
        <b/>
        <i/>
        <sz val="10"/>
        <color indexed="60"/>
        <rFont val="Gilroy-Medium"/>
        <charset val="238"/>
      </rPr>
      <t>wypełnij kolumny F-L</t>
    </r>
    <r>
      <rPr>
        <i/>
        <sz val="9"/>
        <color indexed="8"/>
        <rFont val="Gilroy-Medium"/>
        <charset val="238"/>
      </rPr>
      <t xml:space="preserve">
</t>
    </r>
    <r>
      <rPr>
        <b/>
        <i/>
        <sz val="9"/>
        <color indexed="52"/>
        <rFont val="Gilroy-Medium"/>
        <charset val="238"/>
      </rPr>
      <t>kolumna E</t>
    </r>
    <r>
      <rPr>
        <b/>
        <i/>
        <sz val="9"/>
        <rFont val="Gilroy-Medium"/>
        <charset val="238"/>
      </rPr>
      <t xml:space="preserve">  </t>
    </r>
    <r>
      <rPr>
        <i/>
        <sz val="9"/>
        <rFont val="Gilroy-Medium"/>
        <charset val="238"/>
      </rPr>
      <t xml:space="preserve">jest </t>
    </r>
    <r>
      <rPr>
        <i/>
        <sz val="9"/>
        <color indexed="8"/>
        <rFont val="Gilroy-Medium"/>
        <charset val="238"/>
      </rPr>
      <t>kolumną poglądową stworzoną na potrzeby szybkiej kalkulacji inwestycji, której PARAMETRY możemy zdefiniować w arkuszu "Dane podst. zamówienia"</t>
    </r>
  </si>
  <si>
    <r>
      <t xml:space="preserve">Jeśli </t>
    </r>
    <r>
      <rPr>
        <b/>
        <i/>
        <sz val="11"/>
        <color indexed="60"/>
        <rFont val="Gilroy-Medium"/>
        <charset val="238"/>
      </rPr>
      <t>NIE</t>
    </r>
    <r>
      <rPr>
        <i/>
        <sz val="11"/>
        <color indexed="60"/>
        <rFont val="Gilroy-Medium"/>
        <charset val="238"/>
      </rPr>
      <t>, pomiń tę część</t>
    </r>
  </si>
  <si>
    <t>str 1/6</t>
  </si>
  <si>
    <t>str 5/6</t>
  </si>
  <si>
    <t>str 4/6</t>
  </si>
  <si>
    <t>str 3/6</t>
  </si>
  <si>
    <t>str 2/6</t>
  </si>
  <si>
    <t>str 6/6</t>
  </si>
  <si>
    <r>
      <t xml:space="preserve">GRAFIT
</t>
    </r>
    <r>
      <rPr>
        <sz val="9"/>
        <rFont val="Gilroy-Medium"/>
        <charset val="238"/>
      </rPr>
      <t>~RAL 7021</t>
    </r>
  </si>
  <si>
    <r>
      <t xml:space="preserve">CZARNY
</t>
    </r>
    <r>
      <rPr>
        <sz val="9"/>
        <rFont val="Gilroy-Medium"/>
        <charset val="238"/>
      </rPr>
      <t>~RAL 9005</t>
    </r>
  </si>
  <si>
    <r>
      <t xml:space="preserve">GRAFIT 
</t>
    </r>
    <r>
      <rPr>
        <sz val="9"/>
        <rFont val="Gilroy-Medium"/>
        <charset val="238"/>
      </rPr>
      <t>~RAL 7016</t>
    </r>
  </si>
  <si>
    <r>
      <t>GRAFIT</t>
    </r>
    <r>
      <rPr>
        <b/>
        <sz val="9"/>
        <rFont val="Gilroy-Medium"/>
        <charset val="238"/>
      </rPr>
      <t xml:space="preserve">
</t>
    </r>
    <r>
      <rPr>
        <sz val="9"/>
        <rFont val="Gilroy-Medium"/>
        <charset val="238"/>
      </rPr>
      <t>~RAL 7016</t>
    </r>
  </si>
  <si>
    <r>
      <t>CZARNY</t>
    </r>
    <r>
      <rPr>
        <b/>
        <sz val="9"/>
        <rFont val="Gilroy-Medium"/>
        <charset val="238"/>
      </rPr>
      <t xml:space="preserve">
</t>
    </r>
    <r>
      <rPr>
        <sz val="9"/>
        <rFont val="Gilroy-Medium"/>
        <charset val="238"/>
      </rPr>
      <t>~RAL 9005</t>
    </r>
  </si>
  <si>
    <r>
      <t>CZARNY</t>
    </r>
    <r>
      <rPr>
        <b/>
        <sz val="9"/>
        <rFont val="Gilroy-Medium"/>
        <charset val="238"/>
      </rPr>
      <t xml:space="preserve">
~RAL 9005</t>
    </r>
  </si>
  <si>
    <r>
      <t>GRAFIT</t>
    </r>
    <r>
      <rPr>
        <b/>
        <sz val="9"/>
        <rFont val="Gilroy-Medium"/>
        <charset val="238"/>
      </rPr>
      <t xml:space="preserve">
~RAL 7016</t>
    </r>
  </si>
  <si>
    <t>nie powinny być domyślne do każdego rozwiązania okapu, tylko do wyboru</t>
  </si>
  <si>
    <t>może byłby używany do łączenia gąsiora z listwą podgąsiorową, ale często dekarze to obchodzą w inny sposób. Zostawiłbym do wybrania (domyślnie 0). Przy takim montażu jedno opakowanie starczyłoby z gruuubym naddatkiem na każdy dach</t>
  </si>
  <si>
    <t xml:space="preserve">Co do wiatrownicy 150 mm/200cm, to przy systemowych kontrłatach 100 mm ta wiatrownica jest za niska, dlatego wiatrownica 220 mm (tj. wysoka) powinna być zawsze proponowana do Dachrynny. Wiatrownicę 150 mm usunąłbym z druku i nie wprowadzał do ofertownika. </t>
  </si>
  <si>
    <t>Wkręt farmerski 4,8x35mm (op. 250szt.) – liczony tak samo jak wkręt TORX 4,8x35mm (op. 250szt.). Zasada ta sama, tylko estetyka gorsza</t>
  </si>
  <si>
    <t>Ja na ten moment zastanowiłbym się nad usunięciem wkrętów 19 mm z oferty do panelu na rąbek, bo dekarze z tego co słyszałem korzystają raczej z wkrętów dłuższych (jak 25 mm), ale to nie moja decyzja, tylko sugestia.</t>
  </si>
  <si>
    <t>1 sztuka na jeden dach powinna spokojnie wystarczyć, dotyczy to głównie pionu spustowego z uszczelką na mufie/kolanie.</t>
  </si>
  <si>
    <t>dachy kopertowe</t>
  </si>
  <si>
    <t>1000-000-_-USC310</t>
  </si>
  <si>
    <t>Klej uszczelniacz hybrydowy GEKON 310ml***</t>
  </si>
  <si>
    <t>738S</t>
  </si>
  <si>
    <t>1000-000-905S-USC310</t>
  </si>
  <si>
    <t>1000-000-738S-USC310</t>
  </si>
  <si>
    <t>Kołek dwugwintowy 360mm z długą koszulką</t>
  </si>
  <si>
    <t>1000-000-000X-KDW360</t>
  </si>
  <si>
    <t>25/25</t>
  </si>
  <si>
    <t>Numer zamówienia:</t>
  </si>
  <si>
    <t>moleta</t>
  </si>
  <si>
    <t>moletowanie</t>
  </si>
  <si>
    <r>
      <t>Administratorem Twoich danych osobowych jest</t>
    </r>
    <r>
      <rPr>
        <sz val="9"/>
        <color indexed="23"/>
        <rFont val="Gilroy-Medium"/>
        <charset val="238"/>
      </rPr>
      <t xml:space="preserve"> </t>
    </r>
    <r>
      <rPr>
        <b/>
        <sz val="9"/>
        <color indexed="23"/>
        <rFont val="Gilroy-Medium"/>
        <charset val="238"/>
      </rPr>
      <t>GALECO Sp. z o.o.</t>
    </r>
    <r>
      <rPr>
        <sz val="9"/>
        <color indexed="23"/>
        <rFont val="Gilroy-Medium"/>
        <charset val="238"/>
      </rPr>
      <t xml:space="preserve"> z siedzibą w Balicach, ul. Uśmiechu 1, 32-083 Balice, wpisana do rejestru przedsiębiorców Krajowego Rejestru Sądowego pod numerem KRS: 0000102185, której akta rejestrowe prowadzone są przez Sąd Rejonowy dla Krakowa - Śródmieścia w  Krakowie, XII Wydział Gospodarczy KRS, posiadająca NIP: 6792594371, o kapitale zakładowym w wysokości 400.000,00 zł (czterysta tysięcy złotych), dalej jako: </t>
    </r>
    <r>
      <rPr>
        <b/>
        <sz val="9"/>
        <color indexed="23"/>
        <rFont val="Gilroy-Medium"/>
        <charset val="238"/>
      </rPr>
      <t>Galeco</t>
    </r>
    <r>
      <rPr>
        <sz val="9"/>
        <color indexed="23"/>
        <rFont val="Gilroy-Medium"/>
        <charset val="238"/>
      </rPr>
      <t>. Twoje dane osobowe będą przetwarzane m.in. w celu: przyjęcia i realizacji Twojego zamówienia, rozpatrywania ewentualnych reklamacji i wniosków dotyczących gwarancji, a także wykonywania przez Galeco obowiązków podatkowych i księgowych. Pozostałe informacje o przetwarzaniu Twoich danych osobowych zostały przedstawione w Polityce Prywatności i Plików Cookies dostępnej na stronie www.galeco.pl.</t>
    </r>
  </si>
  <si>
    <t>grafit mat (Rough mat) ~RAL7016</t>
  </si>
  <si>
    <t>3330-125-716M-BPF000</t>
  </si>
  <si>
    <t>3330-125-905M-BPF000</t>
  </si>
  <si>
    <t>3330-125-_-BPF000</t>
  </si>
  <si>
    <t xml:space="preserve">BLACHA PŁASKA </t>
  </si>
  <si>
    <t>OBRÓBKI BLACHARSKIE</t>
  </si>
  <si>
    <t>uzupełnić gdy dołożę profile na wymiar gdyby w druku pojawiła się też wersja bezokapowa</t>
  </si>
  <si>
    <t>Wkręt ocynkowany 4,2x50mm/300 szt. [Stal] do mocowania profilu aluminiowego 50x25mm</t>
  </si>
  <si>
    <t>Wkręt ocynkowany 4,2x50mm/300 szt. [Stal] 
do mocowania profilu aluminiowego 50x25mm</t>
  </si>
  <si>
    <t>Wypełnia Galeco:</t>
  </si>
  <si>
    <t>start</t>
  </si>
  <si>
    <t>koniec</t>
  </si>
  <si>
    <t>Kod pozycji</t>
  </si>
  <si>
    <t>Cena</t>
  </si>
  <si>
    <t>'ZAMÓWIENIE | WYCENA'!C59</t>
  </si>
  <si>
    <t>'ZAMÓWIENIE | WYCENA'!C60</t>
  </si>
  <si>
    <t>'ZAMÓWIENIE | WYCENA'!C107</t>
  </si>
  <si>
    <t>'ZAMÓWIENIE | WYCENA'!C108</t>
  </si>
  <si>
    <t>'ZAMÓWIENIE | WYCENA'!C109</t>
  </si>
  <si>
    <t>'ZAMÓWIENIE | WYCENA'!C122</t>
  </si>
  <si>
    <t>'ZAMÓWIENIE | WYCENA'!C123</t>
  </si>
  <si>
    <t>'ZAMÓWIENIE | WYCENA'!C124</t>
  </si>
  <si>
    <t>'ZAMÓWIENIE | WYCENA'!C125</t>
  </si>
  <si>
    <t>'ZAMÓWIENIE | WYCENA'!C126</t>
  </si>
  <si>
    <t>'ZAMÓWIENIE | WYCENA'!C127</t>
  </si>
  <si>
    <t>'ZAMÓWIENIE | WYCENA'!C128</t>
  </si>
  <si>
    <t>'ZAMÓWIENIE | WYCENA'!C129</t>
  </si>
  <si>
    <t>'ZAMÓWIENIE | WYCENA'!C130</t>
  </si>
  <si>
    <t>'ZAMÓWIENIE | WYCENA'!C131</t>
  </si>
  <si>
    <t>'ZAMÓWIENIE | WYCENA'!C132</t>
  </si>
  <si>
    <t>'ZAMÓWIENIE | WYCENA'!C133</t>
  </si>
  <si>
    <t>'ZAMÓWIENIE | WYCENA'!C134</t>
  </si>
  <si>
    <t>'ZAMÓWIENIE | WYCENA'!C135</t>
  </si>
  <si>
    <t>'ZAMÓWIENIE | WYCENA'!C136</t>
  </si>
  <si>
    <t>'ZAMÓWIENIE | WYCENA'!C137</t>
  </si>
  <si>
    <t>'ZAMÓWIENIE | WYCENA'!C138</t>
  </si>
  <si>
    <t>'ZAMÓWIENIE | WYCENA'!C139</t>
  </si>
  <si>
    <t>'ZAMÓWIENIE | WYCENA'!C176</t>
  </si>
  <si>
    <t>'ZAMÓWIENIE | WYCENA'!C177</t>
  </si>
  <si>
    <t>'ZAMÓWIENIE | WYCENA'!C178</t>
  </si>
  <si>
    <t>'ZAMÓWIENIE | WYCENA'!C179</t>
  </si>
  <si>
    <t>'ZAMÓWIENIE | WYCENA'!C180</t>
  </si>
  <si>
    <t>'ZAMÓWIENIE | WYCENA'!C181</t>
  </si>
  <si>
    <t>'ZAMÓWIENIE | WYCENA'!C182</t>
  </si>
  <si>
    <t>'ZAMÓWIENIE | WYCENA'!C183</t>
  </si>
  <si>
    <t>'ZAMÓWIENIE | WYCENA'!C184</t>
  </si>
  <si>
    <t>ceny obowiązują od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</si>
</sst>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\ _z_ł"/>
    <numFmt numFmtId="165" formatCode="0.0"/>
    <numFmt numFmtId="166" formatCode="0.000"/>
    <numFmt numFmtId="167" formatCode="#,##0.000"/>
    <numFmt numFmtId="168" formatCode="yyyy\-mm\-dd"/>
    <numFmt numFmtId="169" formatCode=";;;"/>
    <numFmt numFmtId="170" formatCode="0.0%"/>
  </numFmts>
  <fonts count="205">
    <font>
      <sz val="10"/>
      <name val="Arial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9"/>
      <name val="Courier New"/>
      <family val="3"/>
      <charset val="238"/>
    </font>
    <font>
      <sz val="9"/>
      <name val="Courier New"/>
      <family val="3"/>
      <charset val="238"/>
    </font>
    <font>
      <sz val="14"/>
      <name val="Courier New"/>
      <family val="3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sz val="9"/>
      <name val="Arial"/>
      <family val="2"/>
      <charset val="238"/>
    </font>
    <font>
      <b/>
      <sz val="12"/>
      <name val="Gilroy-Medium"/>
      <charset val="238"/>
    </font>
    <font>
      <sz val="9"/>
      <name val="Gilroy-Medium"/>
      <charset val="238"/>
    </font>
    <font>
      <sz val="10"/>
      <name val="Gilroy-Medium"/>
      <charset val="238"/>
    </font>
    <font>
      <b/>
      <sz val="10"/>
      <name val="Gilroy-Medium"/>
      <charset val="238"/>
    </font>
    <font>
      <b/>
      <sz val="7"/>
      <name val="Gilroy-Medium"/>
      <charset val="238"/>
    </font>
    <font>
      <b/>
      <sz val="9"/>
      <color indexed="23"/>
      <name val="Gilroy-Medium"/>
      <charset val="238"/>
    </font>
    <font>
      <b/>
      <sz val="9"/>
      <name val="Gilroy-Medium"/>
      <charset val="238"/>
    </font>
    <font>
      <b/>
      <i/>
      <sz val="9"/>
      <name val="Gilroy-Medium"/>
      <charset val="238"/>
    </font>
    <font>
      <i/>
      <sz val="8"/>
      <name val="Gilroy-Medium"/>
      <charset val="238"/>
    </font>
    <font>
      <b/>
      <sz val="9"/>
      <color indexed="12"/>
      <name val="Gilroy-Medium"/>
      <charset val="238"/>
    </font>
    <font>
      <sz val="9"/>
      <color indexed="12"/>
      <name val="Gilroy-Medium"/>
      <charset val="238"/>
    </font>
    <font>
      <sz val="7.5"/>
      <name val="Gilroy-Medium"/>
      <charset val="238"/>
    </font>
    <font>
      <b/>
      <sz val="9"/>
      <color indexed="10"/>
      <name val="Gilroy-Medium"/>
      <charset val="238"/>
    </font>
    <font>
      <sz val="8"/>
      <name val="Gilroy-Medium"/>
      <charset val="238"/>
    </font>
    <font>
      <b/>
      <sz val="9"/>
      <color indexed="56"/>
      <name val="Gilroy-Medium"/>
      <charset val="238"/>
    </font>
    <font>
      <sz val="9"/>
      <color indexed="23"/>
      <name val="Gilroy-Medium"/>
      <charset val="238"/>
    </font>
    <font>
      <sz val="11"/>
      <color indexed="8"/>
      <name val="Gilroy-Medium"/>
      <charset val="238"/>
    </font>
    <font>
      <b/>
      <sz val="11"/>
      <color indexed="10"/>
      <name val="Gilroy-Medium"/>
      <charset val="238"/>
    </font>
    <font>
      <sz val="10"/>
      <color indexed="51"/>
      <name val="Gilroy-Medium"/>
      <charset val="238"/>
    </font>
    <font>
      <b/>
      <sz val="12"/>
      <color indexed="51"/>
      <name val="Gilroy-Medium"/>
      <charset val="238"/>
    </font>
    <font>
      <sz val="10"/>
      <color indexed="53"/>
      <name val="Gilroy-Medium"/>
      <charset val="238"/>
    </font>
    <font>
      <b/>
      <sz val="10"/>
      <color indexed="13"/>
      <name val="Gilroy-Medium"/>
      <charset val="238"/>
    </font>
    <font>
      <b/>
      <sz val="11"/>
      <color indexed="53"/>
      <name val="Gilroy-Medium"/>
      <charset val="238"/>
    </font>
    <font>
      <sz val="10"/>
      <color indexed="23"/>
      <name val="Gilroy-Medium"/>
      <charset val="238"/>
    </font>
    <font>
      <b/>
      <sz val="10"/>
      <color indexed="49"/>
      <name val="Arial"/>
      <family val="2"/>
      <charset val="238"/>
    </font>
    <font>
      <i/>
      <sz val="11"/>
      <name val="Gilroy-Medium"/>
      <charset val="238"/>
    </font>
    <font>
      <sz val="9"/>
      <color indexed="63"/>
      <name val="Gilroy-Medium"/>
      <charset val="238"/>
    </font>
    <font>
      <sz val="7"/>
      <name val="Gilroy-Medium"/>
      <charset val="238"/>
    </font>
    <font>
      <b/>
      <sz val="11"/>
      <name val="Gilroy-Medium"/>
      <charset val="238"/>
    </font>
    <font>
      <sz val="11"/>
      <name val="Gilroy-Medium"/>
      <charset val="238"/>
    </font>
    <font>
      <sz val="12"/>
      <name val="Gilroy-Medium"/>
      <charset val="238"/>
    </font>
    <font>
      <sz val="10"/>
      <color indexed="55"/>
      <name val="Gilroy-Medium"/>
      <charset val="238"/>
    </font>
    <font>
      <sz val="8"/>
      <color indexed="55"/>
      <name val="Gilroy-Medium"/>
      <charset val="238"/>
    </font>
    <font>
      <sz val="8"/>
      <name val="Arial"/>
      <family val="2"/>
      <charset val="238"/>
    </font>
    <font>
      <b/>
      <sz val="8"/>
      <name val="Verdana"/>
      <family val="2"/>
      <charset val="238"/>
    </font>
    <font>
      <b/>
      <sz val="8"/>
      <color indexed="55"/>
      <name val="Verdana"/>
      <family val="2"/>
      <charset val="238"/>
    </font>
    <font>
      <sz val="8"/>
      <color indexed="12"/>
      <name val="Verdana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indexed="56"/>
      <name val="Gilroy ExtraBold"/>
      <family val="3"/>
    </font>
    <font>
      <b/>
      <sz val="12"/>
      <color indexed="56"/>
      <name val="Calibri"/>
      <family val="2"/>
      <charset val="238"/>
    </font>
    <font>
      <i/>
      <sz val="9"/>
      <color indexed="8"/>
      <name val="Gilroy-Medium"/>
      <charset val="238"/>
    </font>
    <font>
      <sz val="9"/>
      <color indexed="10"/>
      <name val="Gilroy-Medium"/>
      <charset val="238"/>
    </font>
    <font>
      <b/>
      <sz val="10"/>
      <color indexed="56"/>
      <name val="Gilroy-Medium"/>
      <charset val="238"/>
    </font>
    <font>
      <b/>
      <sz val="11"/>
      <color indexed="51"/>
      <name val="Gilroy-Medium"/>
      <charset val="238"/>
    </font>
    <font>
      <sz val="12"/>
      <color indexed="8"/>
      <name val="Gilroy-Medium"/>
      <charset val="238"/>
    </font>
    <font>
      <sz val="14"/>
      <color indexed="60"/>
      <name val="Gilroy-Medium"/>
      <charset val="238"/>
    </font>
    <font>
      <sz val="14"/>
      <color indexed="60"/>
      <name val="Calibri"/>
      <family val="2"/>
      <charset val="238"/>
    </font>
    <font>
      <sz val="11"/>
      <color indexed="23"/>
      <name val="Gilroy-Medium"/>
      <charset val="238"/>
    </font>
    <font>
      <sz val="11"/>
      <color indexed="51"/>
      <name val="Gilroy-Medium"/>
      <charset val="238"/>
    </font>
    <font>
      <sz val="11"/>
      <color indexed="53"/>
      <name val="Gilroy-Medium"/>
      <charset val="238"/>
    </font>
    <font>
      <b/>
      <sz val="11"/>
      <color indexed="13"/>
      <name val="Gilroy-Medium"/>
      <charset val="238"/>
    </font>
    <font>
      <b/>
      <sz val="11"/>
      <color indexed="30"/>
      <name val="Gilroy-Medium"/>
      <charset val="238"/>
    </font>
    <font>
      <i/>
      <sz val="9"/>
      <color indexed="63"/>
      <name val="Gilroy-Medium"/>
      <charset val="238"/>
    </font>
    <font>
      <sz val="10"/>
      <color indexed="63"/>
      <name val="Gilroy-Medium"/>
      <charset val="238"/>
    </font>
    <font>
      <i/>
      <sz val="8"/>
      <color indexed="63"/>
      <name val="Gilroy-Medium"/>
      <charset val="238"/>
    </font>
    <font>
      <i/>
      <sz val="10"/>
      <color indexed="60"/>
      <name val="Gilroy-Medium"/>
      <charset val="238"/>
    </font>
    <font>
      <i/>
      <sz val="10"/>
      <color indexed="63"/>
      <name val="Gilroy-Medium"/>
      <charset val="238"/>
    </font>
    <font>
      <sz val="12"/>
      <name val="Calibri"/>
      <family val="2"/>
      <charset val="238"/>
    </font>
    <font>
      <b/>
      <sz val="10"/>
      <color indexed="56"/>
      <name val="Calibri"/>
      <family val="2"/>
      <charset val="238"/>
    </font>
    <font>
      <i/>
      <sz val="10"/>
      <color indexed="63"/>
      <name val="Calibri"/>
      <family val="2"/>
      <charset val="238"/>
    </font>
    <font>
      <i/>
      <sz val="11"/>
      <color indexed="63"/>
      <name val="Calibri"/>
      <family val="2"/>
      <charset val="238"/>
    </font>
    <font>
      <b/>
      <i/>
      <sz val="12"/>
      <color indexed="9"/>
      <name val="Calibri"/>
      <family val="2"/>
      <charset val="238"/>
    </font>
    <font>
      <i/>
      <sz val="9"/>
      <color indexed="63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indexed="60"/>
      <name val="Gilroy-Medium"/>
      <charset val="238"/>
    </font>
    <font>
      <b/>
      <i/>
      <sz val="11"/>
      <color indexed="60"/>
      <name val="Gilroy-Medium"/>
      <charset val="238"/>
    </font>
    <font>
      <i/>
      <sz val="11"/>
      <color indexed="60"/>
      <name val="Gilroy-Medium"/>
      <charset val="238"/>
    </font>
    <font>
      <b/>
      <sz val="11"/>
      <color indexed="17"/>
      <name val="Gilroy-Medium"/>
      <charset val="238"/>
    </font>
    <font>
      <b/>
      <sz val="11"/>
      <color indexed="11"/>
      <name val="Gilroy-Medium"/>
      <charset val="238"/>
    </font>
    <font>
      <b/>
      <i/>
      <sz val="9"/>
      <color indexed="52"/>
      <name val="Gilroy-Medium"/>
      <charset val="238"/>
    </font>
    <font>
      <i/>
      <sz val="9"/>
      <name val="Gilroy-Medium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0"/>
      <name val="Courier New"/>
      <family val="3"/>
      <charset val="238"/>
    </font>
    <font>
      <b/>
      <i/>
      <sz val="10"/>
      <color theme="1" tint="0.499984740745262"/>
      <name val="Gilroy-Medium"/>
      <charset val="238"/>
    </font>
    <font>
      <i/>
      <sz val="10"/>
      <color theme="1" tint="0.499984740745262"/>
      <name val="Gilroy-Medium"/>
      <charset val="238"/>
    </font>
    <font>
      <b/>
      <sz val="10"/>
      <color rgb="FF0000FF"/>
      <name val="Gilroy-Medium"/>
      <charset val="238"/>
    </font>
    <font>
      <i/>
      <sz val="9"/>
      <color theme="1"/>
      <name val="Gilroy-Medium"/>
      <charset val="238"/>
    </font>
    <font>
      <b/>
      <i/>
      <sz val="9"/>
      <color rgb="FFC00000"/>
      <name val="Gilroy-Medium"/>
      <charset val="238"/>
    </font>
    <font>
      <b/>
      <sz val="9"/>
      <color rgb="FF0000FF"/>
      <name val="Gilroy-Medium"/>
      <charset val="238"/>
    </font>
    <font>
      <sz val="9"/>
      <color rgb="FF0000FF"/>
      <name val="Gilroy-Medium"/>
      <charset val="238"/>
    </font>
    <font>
      <b/>
      <i/>
      <sz val="11"/>
      <color theme="0"/>
      <name val="Gilroy-Medium"/>
      <charset val="238"/>
    </font>
    <font>
      <b/>
      <sz val="9"/>
      <color theme="3"/>
      <name val="Gilroy-Medium"/>
      <charset val="238"/>
    </font>
    <font>
      <sz val="10"/>
      <color rgb="FF0033CC"/>
      <name val="Gilroy-Medium"/>
      <charset val="238"/>
    </font>
    <font>
      <b/>
      <sz val="9"/>
      <color rgb="FF0033CC"/>
      <name val="Gilroy-Medium"/>
      <charset val="238"/>
    </font>
    <font>
      <sz val="10"/>
      <color theme="1"/>
      <name val="Gilroy-Medium"/>
      <charset val="238"/>
    </font>
    <font>
      <i/>
      <sz val="9"/>
      <color theme="1" tint="0.34998626667073579"/>
      <name val="Gilroy-Medium"/>
      <charset val="238"/>
    </font>
    <font>
      <b/>
      <sz val="8"/>
      <color rgb="FF0033CC"/>
      <name val="Gilroy-Medium"/>
      <charset val="238"/>
    </font>
    <font>
      <sz val="9"/>
      <color rgb="FFFFC000"/>
      <name val="Gilroy-Medium"/>
      <charset val="238"/>
    </font>
    <font>
      <sz val="9"/>
      <color theme="1" tint="0.34998626667073579"/>
      <name val="Gilroy-Medium"/>
      <charset val="238"/>
    </font>
    <font>
      <b/>
      <sz val="9"/>
      <color theme="1" tint="0.34998626667073579"/>
      <name val="Gilroy-Medium"/>
      <charset val="238"/>
    </font>
    <font>
      <sz val="10"/>
      <color theme="1" tint="0.34998626667073579"/>
      <name val="Gilroy-Medium"/>
      <charset val="238"/>
    </font>
    <font>
      <sz val="10"/>
      <color theme="1" tint="0.34998626667073579"/>
      <name val="Arial"/>
      <family val="2"/>
      <charset val="238"/>
    </font>
    <font>
      <b/>
      <sz val="14"/>
      <color theme="8" tint="-0.499984740745262"/>
      <name val="Gilroy-Medium"/>
      <charset val="238"/>
    </font>
    <font>
      <b/>
      <sz val="9"/>
      <color rgb="FF990000"/>
      <name val="Gilroy-Medium"/>
      <charset val="238"/>
    </font>
    <font>
      <b/>
      <sz val="11"/>
      <color rgb="FF0000FF"/>
      <name val="Gilroy-Medium"/>
      <charset val="238"/>
    </font>
    <font>
      <sz val="9"/>
      <color rgb="FFFF0000"/>
      <name val="Gilroy-Medium"/>
      <charset val="238"/>
    </font>
    <font>
      <b/>
      <sz val="10"/>
      <color rgb="FFFF0000"/>
      <name val="Gilroy-Medium"/>
      <charset val="238"/>
    </font>
    <font>
      <sz val="9"/>
      <color theme="1" tint="0.499984740745262"/>
      <name val="Gilroy-Medium"/>
      <charset val="238"/>
    </font>
    <font>
      <b/>
      <sz val="11"/>
      <color rgb="FF002060"/>
      <name val="Gilroy-Medium"/>
      <charset val="238"/>
    </font>
    <font>
      <b/>
      <sz val="11"/>
      <color theme="0"/>
      <name val="Gilroy-Medium"/>
      <charset val="238"/>
    </font>
    <font>
      <b/>
      <sz val="10"/>
      <color rgb="FF0033CC"/>
      <name val="Gilroy-Medium"/>
      <charset val="238"/>
    </font>
    <font>
      <sz val="10"/>
      <color theme="0"/>
      <name val="Gilroy-Medium"/>
      <charset val="238"/>
    </font>
    <font>
      <b/>
      <sz val="10"/>
      <color theme="1" tint="0.499984740745262"/>
      <name val="Gilroy-Medium"/>
      <charset val="238"/>
    </font>
    <font>
      <sz val="9"/>
      <color theme="1"/>
      <name val="Gilroy-Medium"/>
      <charset val="238"/>
    </font>
    <font>
      <sz val="8"/>
      <color theme="1"/>
      <name val="Gilroy-Medium"/>
      <charset val="238"/>
    </font>
    <font>
      <b/>
      <sz val="10"/>
      <color rgb="FFFFFF00"/>
      <name val="Gilroy-Medium"/>
      <charset val="238"/>
    </font>
    <font>
      <sz val="9"/>
      <color rgb="FF7030A0"/>
      <name val="Gilroy-Medium"/>
      <charset val="238"/>
    </font>
    <font>
      <b/>
      <sz val="10"/>
      <color theme="4"/>
      <name val="Gilroy-Medium"/>
      <charset val="238"/>
    </font>
    <font>
      <sz val="10"/>
      <color theme="0" tint="-0.249977111117893"/>
      <name val="Verdana"/>
      <family val="2"/>
      <charset val="238"/>
    </font>
    <font>
      <sz val="10"/>
      <color theme="0" tint="-0.249977111117893"/>
      <name val="Arial"/>
      <family val="2"/>
      <charset val="238"/>
    </font>
    <font>
      <sz val="8"/>
      <color theme="0" tint="-0.249977111117893"/>
      <name val="Verdana"/>
      <family val="2"/>
      <charset val="238"/>
    </font>
    <font>
      <sz val="10"/>
      <color theme="0" tint="-0.249977111117893"/>
      <name val="Gilroy-Medium"/>
      <charset val="238"/>
    </font>
    <font>
      <b/>
      <sz val="8"/>
      <color theme="0" tint="-0.249977111117893"/>
      <name val="Gilroy-Medium"/>
      <charset val="238"/>
    </font>
    <font>
      <sz val="9"/>
      <color theme="0" tint="-0.249977111117893"/>
      <name val="Gilroy-Medium"/>
      <charset val="238"/>
    </font>
    <font>
      <b/>
      <sz val="9"/>
      <color theme="0" tint="-0.249977111117893"/>
      <name val="Gilroy-Medium"/>
      <charset val="238"/>
    </font>
    <font>
      <sz val="8"/>
      <color theme="0" tint="-0.249977111117893"/>
      <name val="Gilroy-Medium"/>
      <charset val="238"/>
    </font>
    <font>
      <b/>
      <sz val="9"/>
      <color theme="0" tint="-0.249977111117893"/>
      <name val="Verdana"/>
      <family val="2"/>
      <charset val="238"/>
    </font>
    <font>
      <b/>
      <sz val="9"/>
      <color rgb="FFFFC000"/>
      <name val="Gilroy-Medium"/>
      <charset val="238"/>
    </font>
    <font>
      <b/>
      <i/>
      <sz val="11"/>
      <color rgb="FFFFC000"/>
      <name val="Gilroy-Medium"/>
      <charset val="238"/>
    </font>
    <font>
      <b/>
      <sz val="11"/>
      <color rgb="FFFFC000"/>
      <name val="Arial"/>
      <family val="2"/>
      <charset val="238"/>
    </font>
    <font>
      <i/>
      <sz val="8"/>
      <color theme="1" tint="0.34998626667073579"/>
      <name val="Gilroy-Medium"/>
      <charset val="238"/>
    </font>
    <font>
      <b/>
      <sz val="8"/>
      <color theme="0" tint="-0.249977111117893"/>
      <name val="Gilroy Light"/>
      <family val="3"/>
    </font>
    <font>
      <sz val="10"/>
      <color theme="0" tint="-0.249977111117893"/>
      <name val="Gilroy Light"/>
      <family val="3"/>
    </font>
    <font>
      <i/>
      <sz val="12"/>
      <color rgb="FFC00000"/>
      <name val="Gilroy-Medium"/>
      <charset val="238"/>
    </font>
    <font>
      <b/>
      <i/>
      <sz val="20"/>
      <color rgb="FFC00000"/>
      <name val="Gilroy-Medium"/>
      <charset val="238"/>
    </font>
    <font>
      <sz val="12"/>
      <color theme="1"/>
      <name val="Gilroy-Medium"/>
      <charset val="238"/>
    </font>
    <font>
      <sz val="12"/>
      <color rgb="FF0033CC"/>
      <name val="Gilroy-Medium"/>
      <charset val="238"/>
    </font>
    <font>
      <sz val="11"/>
      <color rgb="FF0033CC"/>
      <name val="Gilroy-Medium"/>
      <charset val="238"/>
    </font>
    <font>
      <sz val="11"/>
      <color theme="1"/>
      <name val="Gilroy-Medium"/>
      <charset val="238"/>
    </font>
    <font>
      <i/>
      <sz val="10"/>
      <color rgb="FFC00000"/>
      <name val="Gilroy-Medium"/>
      <charset val="238"/>
    </font>
    <font>
      <b/>
      <sz val="11"/>
      <color rgb="FFC00000"/>
      <name val="Arial"/>
      <family val="2"/>
      <charset val="238"/>
    </font>
    <font>
      <i/>
      <sz val="12"/>
      <color theme="1"/>
      <name val="Gilroy-Medium"/>
      <charset val="238"/>
    </font>
    <font>
      <sz val="11"/>
      <color rgb="FFFFC000"/>
      <name val="Gilroy-Medium"/>
      <charset val="238"/>
    </font>
    <font>
      <sz val="12"/>
      <color theme="1" tint="0.499984740745262"/>
      <name val="Gilroy-Medium"/>
      <charset val="238"/>
    </font>
    <font>
      <i/>
      <sz val="10"/>
      <color theme="1" tint="0.34998626667073579"/>
      <name val="Gilroy-Medium"/>
      <charset val="238"/>
    </font>
    <font>
      <sz val="10"/>
      <color rgb="FFFFC000"/>
      <name val="Gilroy-Medium"/>
      <charset val="238"/>
    </font>
    <font>
      <i/>
      <sz val="11"/>
      <color rgb="FFC00000"/>
      <name val="Gilroy-Medium"/>
      <charset val="238"/>
    </font>
    <font>
      <b/>
      <sz val="10"/>
      <color rgb="FFB21E5D"/>
      <name val="Gilroy-Medium"/>
      <charset val="238"/>
    </font>
    <font>
      <b/>
      <sz val="10"/>
      <color theme="8" tint="-0.499984740745262"/>
      <name val="Gilroy-Medium"/>
      <charset val="238"/>
    </font>
    <font>
      <sz val="9"/>
      <color theme="0" tint="-0.34998626667073579"/>
      <name val="Gilroy-Medium"/>
      <charset val="238"/>
    </font>
    <font>
      <b/>
      <sz val="9"/>
      <color theme="0" tint="-0.34998626667073579"/>
      <name val="Gilroy-Medium"/>
      <charset val="238"/>
    </font>
    <font>
      <sz val="10"/>
      <color theme="0" tint="-0.34998626667073579"/>
      <name val="Gilroy-Medium"/>
      <charset val="238"/>
    </font>
    <font>
      <b/>
      <sz val="8"/>
      <color theme="0" tint="-0.34998626667073579"/>
      <name val="Gilroy-Medium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Verdana"/>
      <family val="2"/>
      <charset val="238"/>
    </font>
    <font>
      <sz val="8"/>
      <color theme="0" tint="-0.34998626667073579"/>
      <name val="Verdana"/>
      <family val="2"/>
      <charset val="238"/>
    </font>
    <font>
      <sz val="8"/>
      <color theme="0" tint="-0.34998626667073579"/>
      <name val="Gilroy-Medium"/>
      <charset val="238"/>
    </font>
    <font>
      <sz val="9"/>
      <color theme="0" tint="-0.499984740745262"/>
      <name val="Gilroy-Medium"/>
      <charset val="238"/>
    </font>
    <font>
      <sz val="10"/>
      <color theme="0" tint="-0.499984740745262"/>
      <name val="Gilroy-Medium"/>
      <charset val="238"/>
    </font>
    <font>
      <sz val="9"/>
      <color theme="1" tint="0.499984740745262"/>
      <name val="Gilroy Light"/>
      <family val="3"/>
    </font>
    <font>
      <b/>
      <sz val="10"/>
      <color theme="0" tint="-0.499984740745262"/>
      <name val="Gilroy-Medium"/>
      <charset val="238"/>
    </font>
    <font>
      <sz val="12"/>
      <color rgb="FF0000FF"/>
      <name val="Gilroy-Medium"/>
      <charset val="238"/>
    </font>
    <font>
      <sz val="11"/>
      <color theme="0" tint="-0.499984740745262"/>
      <name val="Gilroy-Medium"/>
      <charset val="238"/>
    </font>
    <font>
      <b/>
      <sz val="8"/>
      <color rgb="FFC00000"/>
      <name val="Courier New"/>
      <family val="3"/>
      <charset val="238"/>
    </font>
    <font>
      <sz val="9"/>
      <color theme="0"/>
      <name val="Gilroy-Medium"/>
      <charset val="238"/>
    </font>
    <font>
      <sz val="8.5"/>
      <color theme="0" tint="-0.499984740745262"/>
      <name val="Arial"/>
      <family val="2"/>
      <charset val="238"/>
    </font>
    <font>
      <b/>
      <sz val="8"/>
      <color rgb="FF969696"/>
      <name val="Verdana"/>
      <family val="2"/>
      <charset val="238"/>
    </font>
    <font>
      <b/>
      <sz val="16"/>
      <color rgb="FF1D2C50"/>
      <name val="Gilroy-Medium"/>
      <charset val="238"/>
    </font>
    <font>
      <sz val="11"/>
      <color rgb="FF1D2C50"/>
      <name val="Gilroy-Medium"/>
      <charset val="238"/>
    </font>
    <font>
      <b/>
      <sz val="11"/>
      <color rgb="FF1D2C50"/>
      <name val="Gilroy-Medium"/>
      <charset val="238"/>
    </font>
    <font>
      <sz val="12"/>
      <color rgb="FF1D2C50"/>
      <name val="Gilroy-Medium"/>
      <charset val="238"/>
    </font>
    <font>
      <b/>
      <sz val="12"/>
      <color rgb="FF1D2C50"/>
      <name val="Gilroy-Medium"/>
      <charset val="238"/>
    </font>
    <font>
      <sz val="10"/>
      <color rgb="FF1D2C50"/>
      <name val="Gilroy-Medium"/>
      <charset val="238"/>
    </font>
    <font>
      <i/>
      <sz val="10"/>
      <color rgb="FF002060"/>
      <name val="Gilroy-Medium"/>
      <charset val="238"/>
    </font>
    <font>
      <sz val="13"/>
      <color rgb="FF1D2C50"/>
      <name val="Gilroy-Medium"/>
      <charset val="238"/>
    </font>
    <font>
      <sz val="12"/>
      <color rgb="FFFFC000"/>
      <name val="Gilroy-Medium"/>
      <charset val="238"/>
    </font>
    <font>
      <i/>
      <sz val="9"/>
      <color theme="0" tint="-0.499984740745262"/>
      <name val="Gilroy-Medium"/>
      <charset val="238"/>
    </font>
    <font>
      <b/>
      <i/>
      <sz val="10"/>
      <color theme="1" tint="0.34998626667073579"/>
      <name val="Gilroy-Medium"/>
      <charset val="238"/>
    </font>
    <font>
      <b/>
      <sz val="9"/>
      <color theme="0" tint="-0.499984740745262"/>
      <name val="Gilroy-Medium"/>
      <charset val="238"/>
    </font>
    <font>
      <sz val="8"/>
      <color rgb="FFC00000"/>
      <name val="Gilroy-Medium"/>
      <charset val="238"/>
    </font>
    <font>
      <b/>
      <sz val="9"/>
      <color theme="1" tint="0.499984740745262"/>
      <name val="Gilroy-Medium"/>
      <charset val="238"/>
    </font>
    <font>
      <sz val="10"/>
      <color theme="1"/>
      <name val="Verdana"/>
      <family val="2"/>
      <charset val="238"/>
    </font>
    <font>
      <b/>
      <sz val="10"/>
      <color rgb="FF0033CC"/>
      <name val="Bahnschrift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8"/>
      <color rgb="FFC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21E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F497D"/>
        <bgColor indexed="64"/>
      </patternFill>
    </fill>
  </fills>
  <borders count="1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 style="double">
        <color rgb="FFD1236D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8" tint="-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/>
      <bottom style="mediumDashed">
        <color rgb="FFFFC000"/>
      </bottom>
      <diagonal/>
    </border>
    <border>
      <left/>
      <right/>
      <top style="mediumDashed">
        <color rgb="FFFFC000"/>
      </top>
      <bottom/>
      <diagonal/>
    </border>
    <border>
      <left/>
      <right style="mediumDashed">
        <color rgb="FFFFC000"/>
      </right>
      <top style="mediumDashed">
        <color rgb="FFFFC000"/>
      </top>
      <bottom/>
      <diagonal/>
    </border>
    <border>
      <left/>
      <right style="mediumDashed">
        <color rgb="FFFFC000"/>
      </right>
      <top/>
      <bottom/>
      <diagonal/>
    </border>
    <border>
      <left/>
      <right style="mediumDashed">
        <color rgb="FFFFC000"/>
      </right>
      <top/>
      <bottom style="mediumDashed">
        <color rgb="FFFFC000"/>
      </bottom>
      <diagonal/>
    </border>
    <border>
      <left style="mediumDashed">
        <color rgb="FFFFC000"/>
      </left>
      <right/>
      <top/>
      <bottom/>
      <diagonal/>
    </border>
    <border>
      <left style="mediumDashed">
        <color rgb="FFFFC000"/>
      </left>
      <right/>
      <top/>
      <bottom style="mediumDashed">
        <color rgb="FFFFC00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double">
        <color rgb="FFD1236D"/>
      </right>
      <top style="thin">
        <color indexed="64"/>
      </top>
      <bottom/>
      <diagonal/>
    </border>
    <border>
      <left/>
      <right style="double">
        <color rgb="FFD1236D"/>
      </right>
      <top/>
      <bottom/>
      <diagonal/>
    </border>
    <border>
      <left/>
      <right style="double">
        <color rgb="FFD1236D"/>
      </right>
      <top style="thin">
        <color indexed="64"/>
      </top>
      <bottom style="thin">
        <color indexed="64"/>
      </bottom>
      <diagonal/>
    </border>
    <border>
      <left/>
      <right style="double">
        <color rgb="FFD1236D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double">
        <color theme="3"/>
      </right>
      <top style="thin">
        <color indexed="64"/>
      </top>
      <bottom/>
      <diagonal/>
    </border>
    <border>
      <left/>
      <right style="double">
        <color theme="3"/>
      </right>
      <top/>
      <bottom style="thin">
        <color indexed="64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rgb="FFFFC000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99" fillId="0" borderId="0"/>
    <xf numFmtId="0" fontId="2" fillId="0" borderId="0"/>
    <xf numFmtId="0" fontId="21" fillId="0" borderId="0"/>
    <xf numFmtId="0" fontId="11" fillId="9" borderId="1" applyNumberFormat="0" applyAlignment="0" applyProtection="0"/>
    <xf numFmtId="9" fontId="22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9" applyNumberFormat="0" applyFont="0" applyAlignment="0" applyProtection="0"/>
  </cellStyleXfs>
  <cellXfs count="762">
    <xf numFmtId="0" fontId="0" fillId="0" borderId="0" xfId="0"/>
    <xf numFmtId="0" fontId="1" fillId="0" borderId="0" xfId="0" applyFont="1" applyFill="1" applyBorder="1"/>
    <xf numFmtId="0" fontId="16" fillId="0" borderId="0" xfId="0" applyFont="1"/>
    <xf numFmtId="0" fontId="16" fillId="0" borderId="0" xfId="0" applyFont="1" applyFill="1" applyBorder="1"/>
    <xf numFmtId="0" fontId="0" fillId="0" borderId="0" xfId="0" applyFill="1" applyBorder="1"/>
    <xf numFmtId="49" fontId="17" fillId="0" borderId="0" xfId="0" applyNumberFormat="1" applyFont="1" applyFill="1" applyBorder="1"/>
    <xf numFmtId="0" fontId="18" fillId="0" borderId="0" xfId="0" applyNumberFormat="1" applyFont="1" applyAlignment="1">
      <alignment horizontal="center"/>
    </xf>
    <xf numFmtId="0" fontId="19" fillId="0" borderId="0" xfId="0" applyNumberFormat="1" applyFont="1"/>
    <xf numFmtId="0" fontId="20" fillId="0" borderId="0" xfId="0" applyNumberFormat="1" applyFont="1"/>
    <xf numFmtId="0" fontId="16" fillId="0" borderId="0" xfId="0" applyFont="1" applyBorder="1"/>
    <xf numFmtId="0" fontId="1" fillId="0" borderId="0" xfId="17" applyFont="1" applyProtection="1">
      <protection hidden="1"/>
    </xf>
    <xf numFmtId="0" fontId="0" fillId="0" borderId="0" xfId="0" applyFill="1" applyBorder="1" applyAlignment="1"/>
    <xf numFmtId="0" fontId="18" fillId="12" borderId="0" xfId="0" applyNumberFormat="1" applyFont="1" applyFill="1" applyAlignment="1" applyProtection="1">
      <alignment horizontal="center"/>
    </xf>
    <xf numFmtId="0" fontId="19" fillId="0" borderId="0" xfId="0" applyNumberFormat="1" applyFont="1" applyProtection="1"/>
    <xf numFmtId="166" fontId="19" fillId="0" borderId="0" xfId="0" applyNumberFormat="1" applyFont="1" applyFill="1" applyAlignment="1" applyProtection="1">
      <alignment horizontal="right"/>
    </xf>
    <xf numFmtId="0" fontId="19" fillId="0" borderId="0" xfId="0" applyNumberFormat="1" applyFont="1" applyFill="1" applyAlignment="1" applyProtection="1">
      <alignment horizontal="right"/>
    </xf>
    <xf numFmtId="1" fontId="19" fillId="0" borderId="0" xfId="0" applyNumberFormat="1" applyFont="1" applyFill="1" applyAlignment="1" applyProtection="1">
      <alignment horizontal="right"/>
    </xf>
    <xf numFmtId="4" fontId="100" fillId="15" borderId="0" xfId="0" quotePrefix="1" applyNumberFormat="1" applyFont="1" applyFill="1" applyProtection="1"/>
    <xf numFmtId="4" fontId="19" fillId="0" borderId="0" xfId="0" applyNumberFormat="1" applyFont="1" applyProtection="1"/>
    <xf numFmtId="0" fontId="1" fillId="0" borderId="0" xfId="0" applyFont="1" applyFill="1" applyBorder="1" applyAlignment="1">
      <alignment vertical="top"/>
    </xf>
    <xf numFmtId="168" fontId="19" fillId="0" borderId="0" xfId="0" applyNumberFormat="1" applyFont="1" applyFill="1" applyAlignment="1" applyProtection="1">
      <alignment horizontal="right"/>
    </xf>
    <xf numFmtId="4" fontId="100" fillId="15" borderId="0" xfId="0" quotePrefix="1" applyNumberFormat="1" applyFont="1" applyFill="1" applyAlignment="1" applyProtection="1">
      <alignment vertical="center"/>
    </xf>
    <xf numFmtId="166" fontId="19" fillId="0" borderId="0" xfId="0" applyNumberFormat="1" applyFont="1" applyFill="1" applyAlignment="1" applyProtection="1">
      <alignment vertical="center"/>
    </xf>
    <xf numFmtId="0" fontId="19" fillId="0" borderId="0" xfId="0" applyNumberFormat="1" applyFont="1" applyAlignment="1" applyProtection="1">
      <alignment vertical="center"/>
    </xf>
    <xf numFmtId="0" fontId="19" fillId="0" borderId="0" xfId="0" applyNumberFormat="1" applyFont="1" applyFill="1" applyAlignment="1" applyProtection="1">
      <alignment horizontal="right" vertical="center"/>
    </xf>
    <xf numFmtId="1" fontId="19" fillId="0" borderId="0" xfId="0" applyNumberFormat="1" applyFont="1" applyFill="1" applyAlignment="1" applyProtection="1">
      <alignment horizontal="left" vertical="center"/>
    </xf>
    <xf numFmtId="0" fontId="19" fillId="0" borderId="0" xfId="0" applyNumberFormat="1" applyFont="1" applyFill="1" applyAlignment="1" applyProtection="1">
      <alignment horizontal="left" vertical="center"/>
    </xf>
    <xf numFmtId="168" fontId="19" fillId="0" borderId="0" xfId="0" applyNumberFormat="1" applyFont="1" applyFill="1" applyAlignment="1" applyProtection="1">
      <alignment horizontal="left" vertical="center"/>
    </xf>
    <xf numFmtId="0" fontId="18" fillId="12" borderId="0" xfId="0" applyNumberFormat="1" applyFont="1" applyFill="1" applyAlignment="1" applyProtection="1">
      <alignment vertical="center"/>
    </xf>
    <xf numFmtId="0" fontId="18" fillId="12" borderId="0" xfId="0" applyNumberFormat="1" applyFont="1" applyFill="1" applyAlignment="1" applyProtection="1">
      <alignment horizontal="center" vertical="center"/>
    </xf>
    <xf numFmtId="168" fontId="18" fillId="12" borderId="0" xfId="0" applyNumberFormat="1" applyFont="1" applyFill="1" applyAlignment="1" applyProtection="1">
      <alignment horizontal="center" vertical="center"/>
    </xf>
    <xf numFmtId="0" fontId="19" fillId="0" borderId="0" xfId="0" applyNumberFormat="1" applyFont="1" applyAlignment="1">
      <alignment horizontal="right"/>
    </xf>
    <xf numFmtId="0" fontId="19" fillId="0" borderId="0" xfId="0" applyNumberFormat="1" applyFont="1" applyFill="1" applyAlignment="1" applyProtection="1">
      <alignment vertical="center"/>
    </xf>
    <xf numFmtId="0" fontId="25" fillId="13" borderId="0" xfId="0" applyFont="1" applyFill="1" applyAlignment="1" applyProtection="1">
      <alignment horizontal="left" vertical="center"/>
      <protection hidden="1"/>
    </xf>
    <xf numFmtId="0" fontId="26" fillId="0" borderId="10" xfId="0" applyFont="1" applyFill="1" applyBorder="1" applyAlignment="1" applyProtection="1">
      <alignment vertical="center" wrapText="1"/>
    </xf>
    <xf numFmtId="0" fontId="27" fillId="0" borderId="0" xfId="0" applyFont="1"/>
    <xf numFmtId="0" fontId="28" fillId="0" borderId="0" xfId="0" applyFont="1" applyAlignment="1">
      <alignment horizontal="right"/>
    </xf>
    <xf numFmtId="0" fontId="101" fillId="0" borderId="0" xfId="0" applyNumberFormat="1" applyFont="1" applyFill="1" applyBorder="1" applyAlignment="1" applyProtection="1">
      <alignment vertical="center"/>
      <protection hidden="1"/>
    </xf>
    <xf numFmtId="0" fontId="102" fillId="13" borderId="0" xfId="0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Border="1"/>
    <xf numFmtId="49" fontId="27" fillId="0" borderId="0" xfId="0" applyNumberFormat="1" applyFont="1" applyFill="1" applyBorder="1"/>
    <xf numFmtId="0" fontId="29" fillId="0" borderId="0" xfId="0" applyFont="1" applyFill="1" applyBorder="1" applyAlignment="1">
      <alignment horizontal="left" textRotation="90" wrapText="1"/>
    </xf>
    <xf numFmtId="0" fontId="103" fillId="0" borderId="0" xfId="0" applyNumberFormat="1" applyFont="1" applyBorder="1" applyAlignment="1" applyProtection="1">
      <alignment horizontal="left"/>
      <protection locked="0"/>
    </xf>
    <xf numFmtId="0" fontId="26" fillId="0" borderId="0" xfId="0" applyFont="1" applyFill="1" applyBorder="1"/>
    <xf numFmtId="0" fontId="32" fillId="0" borderId="0" xfId="0" applyFont="1" applyFill="1" applyBorder="1" applyAlignment="1" applyProtection="1">
      <alignment wrapText="1"/>
    </xf>
    <xf numFmtId="0" fontId="26" fillId="0" borderId="0" xfId="0" applyFont="1" applyFill="1" applyBorder="1" applyAlignment="1" applyProtection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104" fillId="0" borderId="0" xfId="0" applyFont="1" applyFill="1" applyBorder="1" applyAlignment="1" applyProtection="1">
      <alignment vertical="top" wrapText="1"/>
    </xf>
    <xf numFmtId="0" fontId="27" fillId="0" borderId="11" xfId="0" applyFont="1" applyFill="1" applyBorder="1"/>
    <xf numFmtId="49" fontId="27" fillId="0" borderId="12" xfId="0" applyNumberFormat="1" applyFont="1" applyFill="1" applyBorder="1"/>
    <xf numFmtId="0" fontId="27" fillId="0" borderId="13" xfId="0" applyFont="1" applyFill="1" applyBorder="1"/>
    <xf numFmtId="0" fontId="26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vertical="top" wrapText="1"/>
    </xf>
    <xf numFmtId="0" fontId="105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Protection="1"/>
    <xf numFmtId="49" fontId="26" fillId="0" borderId="0" xfId="0" applyNumberFormat="1" applyFont="1" applyFill="1" applyBorder="1" applyAlignment="1" applyProtection="1">
      <alignment horizontal="center"/>
    </xf>
    <xf numFmtId="0" fontId="106" fillId="0" borderId="10" xfId="0" quotePrefix="1" applyNumberFormat="1" applyFont="1" applyFill="1" applyBorder="1" applyAlignment="1" applyProtection="1">
      <alignment horizontal="center" vertical="center"/>
      <protection locked="0"/>
    </xf>
    <xf numFmtId="0" fontId="106" fillId="0" borderId="14" xfId="0" quotePrefix="1" applyNumberFormat="1" applyFont="1" applyFill="1" applyBorder="1" applyAlignment="1" applyProtection="1">
      <alignment horizontal="center" vertical="center"/>
      <protection locked="0"/>
    </xf>
    <xf numFmtId="0" fontId="106" fillId="0" borderId="15" xfId="0" quotePrefix="1" applyNumberFormat="1" applyFont="1" applyFill="1" applyBorder="1" applyAlignment="1" applyProtection="1">
      <alignment horizontal="center" vertical="center"/>
      <protection locked="0"/>
    </xf>
    <xf numFmtId="1" fontId="34" fillId="16" borderId="16" xfId="0" applyNumberFormat="1" applyFont="1" applyFill="1" applyBorder="1" applyAlignment="1" applyProtection="1">
      <alignment horizontal="center" vertical="center"/>
      <protection locked="0"/>
    </xf>
    <xf numFmtId="16" fontId="26" fillId="0" borderId="15" xfId="0" quotePrefix="1" applyNumberFormat="1" applyFont="1" applyFill="1" applyBorder="1" applyAlignment="1" applyProtection="1">
      <alignment horizontal="center" vertical="center"/>
    </xf>
    <xf numFmtId="0" fontId="107" fillId="0" borderId="0" xfId="0" applyFont="1" applyFill="1" applyBorder="1"/>
    <xf numFmtId="0" fontId="31" fillId="0" borderId="0" xfId="0" applyFont="1" applyFill="1" applyBorder="1" applyProtection="1"/>
    <xf numFmtId="0" fontId="36" fillId="0" borderId="0" xfId="0" quotePrefix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>
      <protection locked="0"/>
    </xf>
    <xf numFmtId="9" fontId="37" fillId="14" borderId="0" xfId="0" applyNumberFormat="1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vertical="top"/>
    </xf>
    <xf numFmtId="0" fontId="26" fillId="0" borderId="0" xfId="0" applyFont="1" applyFill="1" applyBorder="1" applyAlignment="1" applyProtection="1">
      <alignment horizontal="center" vertical="top"/>
    </xf>
    <xf numFmtId="0" fontId="38" fillId="0" borderId="0" xfId="0" applyFont="1" applyFill="1" applyBorder="1" applyAlignment="1">
      <alignment vertical="top"/>
    </xf>
    <xf numFmtId="0" fontId="38" fillId="0" borderId="0" xfId="0" applyFont="1" applyFill="1" applyBorder="1" applyProtection="1"/>
    <xf numFmtId="0" fontId="38" fillId="0" borderId="0" xfId="0" applyFont="1" applyFill="1" applyBorder="1" applyAlignment="1" applyProtection="1">
      <alignment horizontal="center"/>
    </xf>
    <xf numFmtId="0" fontId="27" fillId="0" borderId="0" xfId="0" applyFont="1" applyBorder="1" applyProtection="1"/>
    <xf numFmtId="0" fontId="27" fillId="0" borderId="0" xfId="0" applyFont="1" applyFill="1" applyBorder="1" applyProtection="1"/>
    <xf numFmtId="49" fontId="38" fillId="13" borderId="0" xfId="17" applyNumberFormat="1" applyFont="1" applyFill="1" applyProtection="1"/>
    <xf numFmtId="49" fontId="27" fillId="0" borderId="0" xfId="0" applyNumberFormat="1" applyFont="1" applyFill="1" applyBorder="1" applyProtection="1"/>
    <xf numFmtId="0" fontId="27" fillId="0" borderId="0" xfId="0" applyFont="1" applyProtection="1"/>
    <xf numFmtId="0" fontId="38" fillId="0" borderId="0" xfId="17" applyFont="1" applyProtection="1"/>
    <xf numFmtId="0" fontId="27" fillId="0" borderId="17" xfId="0" applyFont="1" applyFill="1" applyBorder="1"/>
    <xf numFmtId="0" fontId="108" fillId="17" borderId="0" xfId="0" applyFont="1" applyFill="1" applyBorder="1" applyAlignment="1" applyProtection="1">
      <alignment vertical="center"/>
    </xf>
    <xf numFmtId="0" fontId="103" fillId="17" borderId="0" xfId="0" applyNumberFormat="1" applyFont="1" applyFill="1" applyBorder="1" applyAlignment="1" applyProtection="1">
      <alignment horizontal="left"/>
      <protection locked="0"/>
    </xf>
    <xf numFmtId="0" fontId="27" fillId="17" borderId="0" xfId="0" applyFont="1" applyFill="1" applyBorder="1"/>
    <xf numFmtId="0" fontId="27" fillId="17" borderId="0" xfId="0" applyFont="1" applyFill="1"/>
    <xf numFmtId="0" fontId="29" fillId="17" borderId="0" xfId="0" applyFont="1" applyFill="1" applyBorder="1" applyAlignment="1">
      <alignment horizontal="left" textRotation="90" wrapText="1"/>
    </xf>
    <xf numFmtId="0" fontId="109" fillId="0" borderId="0" xfId="0" applyFont="1" applyFill="1" applyBorder="1" applyAlignment="1" applyProtection="1"/>
    <xf numFmtId="0" fontId="27" fillId="0" borderId="46" xfId="0" applyFont="1" applyFill="1" applyBorder="1"/>
    <xf numFmtId="0" fontId="31" fillId="0" borderId="46" xfId="0" applyFont="1" applyBorder="1" applyAlignment="1">
      <alignment horizontal="center" vertical="center" wrapText="1"/>
    </xf>
    <xf numFmtId="0" fontId="31" fillId="16" borderId="46" xfId="0" applyFont="1" applyFill="1" applyBorder="1" applyAlignment="1">
      <alignment horizontal="center" textRotation="90" wrapText="1"/>
    </xf>
    <xf numFmtId="0" fontId="110" fillId="0" borderId="46" xfId="0" applyFont="1" applyFill="1" applyBorder="1"/>
    <xf numFmtId="0" fontId="26" fillId="0" borderId="46" xfId="0" applyNumberFormat="1" applyFont="1" applyFill="1" applyBorder="1" applyAlignment="1" applyProtection="1">
      <alignment horizontal="right" vertical="center"/>
    </xf>
    <xf numFmtId="1" fontId="34" fillId="0" borderId="46" xfId="0" applyNumberFormat="1" applyFont="1" applyFill="1" applyBorder="1" applyAlignment="1" applyProtection="1">
      <alignment horizontal="center" vertical="center"/>
      <protection locked="0"/>
    </xf>
    <xf numFmtId="1" fontId="111" fillId="16" borderId="46" xfId="0" applyNumberFormat="1" applyFont="1" applyFill="1" applyBorder="1" applyAlignment="1" applyProtection="1">
      <alignment horizontal="center" vertical="center"/>
      <protection locked="0"/>
    </xf>
    <xf numFmtId="0" fontId="27" fillId="0" borderId="46" xfId="0" applyFont="1" applyBorder="1"/>
    <xf numFmtId="1" fontId="34" fillId="16" borderId="46" xfId="0" applyNumberFormat="1" applyFont="1" applyFill="1" applyBorder="1" applyAlignment="1" applyProtection="1">
      <alignment horizontal="center" vertical="center"/>
      <protection locked="0"/>
    </xf>
    <xf numFmtId="0" fontId="36" fillId="0" borderId="46" xfId="0" quotePrefix="1" applyFont="1" applyFill="1" applyBorder="1" applyAlignment="1" applyProtection="1">
      <alignment horizontal="center"/>
    </xf>
    <xf numFmtId="0" fontId="26" fillId="0" borderId="46" xfId="0" applyFont="1" applyBorder="1" applyAlignment="1">
      <alignment horizontal="center" wrapText="1"/>
    </xf>
    <xf numFmtId="0" fontId="26" fillId="0" borderId="46" xfId="0" applyFont="1" applyFill="1" applyBorder="1"/>
    <xf numFmtId="0" fontId="27" fillId="0" borderId="47" xfId="0" applyFont="1" applyBorder="1"/>
    <xf numFmtId="0" fontId="27" fillId="0" borderId="47" xfId="0" applyFont="1" applyFill="1" applyBorder="1"/>
    <xf numFmtId="1" fontId="34" fillId="16" borderId="47" xfId="0" applyNumberFormat="1" applyFont="1" applyFill="1" applyBorder="1" applyAlignment="1" applyProtection="1">
      <alignment horizontal="center" vertical="center"/>
      <protection locked="0"/>
    </xf>
    <xf numFmtId="0" fontId="26" fillId="0" borderId="47" xfId="0" applyFont="1" applyFill="1" applyBorder="1"/>
    <xf numFmtId="0" fontId="26" fillId="0" borderId="10" xfId="0" applyFont="1" applyFill="1" applyBorder="1" applyAlignment="1" applyProtection="1">
      <alignment horizontal="center" vertical="center"/>
    </xf>
    <xf numFmtId="4" fontId="31" fillId="14" borderId="0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vertical="center" wrapText="1"/>
    </xf>
    <xf numFmtId="0" fontId="31" fillId="0" borderId="0" xfId="16" applyFont="1" applyAlignment="1">
      <alignment horizontal="center" vertical="top"/>
    </xf>
    <xf numFmtId="0" fontId="27" fillId="0" borderId="0" xfId="0" applyFont="1" applyBorder="1"/>
    <xf numFmtId="49" fontId="26" fillId="0" borderId="18" xfId="0" applyNumberFormat="1" applyFont="1" applyFill="1" applyBorder="1" applyAlignment="1" applyProtection="1">
      <alignment horizontal="center" wrapText="1"/>
    </xf>
    <xf numFmtId="2" fontId="112" fillId="0" borderId="48" xfId="0" applyNumberFormat="1" applyFont="1" applyFill="1" applyBorder="1" applyAlignment="1" applyProtection="1">
      <alignment horizontal="left" vertical="center"/>
      <protection hidden="1"/>
    </xf>
    <xf numFmtId="2" fontId="112" fillId="0" borderId="49" xfId="0" applyNumberFormat="1" applyFont="1" applyFill="1" applyBorder="1" applyAlignment="1" applyProtection="1">
      <alignment horizontal="left" vertical="center"/>
      <protection hidden="1"/>
    </xf>
    <xf numFmtId="2" fontId="112" fillId="0" borderId="50" xfId="0" applyNumberFormat="1" applyFont="1" applyFill="1" applyBorder="1" applyAlignment="1" applyProtection="1">
      <alignment horizontal="left" vertical="center"/>
      <protection hidden="1"/>
    </xf>
    <xf numFmtId="2" fontId="112" fillId="0" borderId="51" xfId="0" applyNumberFormat="1" applyFont="1" applyFill="1" applyBorder="1" applyAlignment="1" applyProtection="1">
      <alignment horizontal="left" vertical="center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01" fillId="0" borderId="0" xfId="0" applyNumberFormat="1" applyFont="1" applyFill="1" applyBorder="1" applyAlignment="1" applyProtection="1">
      <alignment horizontal="center" vertical="center"/>
      <protection hidden="1"/>
    </xf>
    <xf numFmtId="0" fontId="113" fillId="0" borderId="0" xfId="0" applyFont="1" applyFill="1" applyBorder="1" applyAlignment="1">
      <alignment wrapText="1"/>
    </xf>
    <xf numFmtId="0" fontId="113" fillId="0" borderId="0" xfId="0" applyFont="1" applyFill="1" applyBorder="1" applyAlignment="1">
      <alignment horizontal="right" vertical="top"/>
    </xf>
    <xf numFmtId="2" fontId="112" fillId="0" borderId="51" xfId="0" applyNumberFormat="1" applyFont="1" applyFill="1" applyBorder="1" applyAlignment="1" applyProtection="1">
      <alignment horizontal="right" vertical="center" indent="1"/>
      <protection hidden="1"/>
    </xf>
    <xf numFmtId="2" fontId="112" fillId="0" borderId="48" xfId="0" applyNumberFormat="1" applyFont="1" applyFill="1" applyBorder="1" applyAlignment="1" applyProtection="1">
      <alignment horizontal="right" vertical="center" indent="1"/>
      <protection hidden="1"/>
    </xf>
    <xf numFmtId="0" fontId="31" fillId="0" borderId="0" xfId="0" applyFont="1" applyAlignment="1">
      <alignment vertical="center" wrapText="1"/>
    </xf>
    <xf numFmtId="0" fontId="114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49" fontId="11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0" fontId="27" fillId="17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/>
    </xf>
    <xf numFmtId="0" fontId="31" fillId="14" borderId="0" xfId="0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28" fillId="0" borderId="0" xfId="0" applyFont="1" applyAlignment="1">
      <alignment horizontal="right" vertical="top"/>
    </xf>
    <xf numFmtId="0" fontId="28" fillId="0" borderId="0" xfId="0" applyFont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11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116" fillId="0" borderId="17" xfId="0" quotePrefix="1" applyFont="1" applyFill="1" applyBorder="1" applyAlignment="1" applyProtection="1">
      <alignment horizontal="center" vertical="center"/>
    </xf>
    <xf numFmtId="0" fontId="116" fillId="0" borderId="19" xfId="0" quotePrefix="1" applyFont="1" applyFill="1" applyBorder="1" applyAlignment="1" applyProtection="1">
      <alignment horizontal="center" vertical="center"/>
    </xf>
    <xf numFmtId="1" fontId="117" fillId="0" borderId="0" xfId="0" applyNumberFormat="1" applyFont="1" applyFill="1" applyBorder="1" applyAlignment="1" applyProtection="1">
      <alignment horizontal="center" vertical="center"/>
      <protection locked="0"/>
    </xf>
    <xf numFmtId="1" fontId="117" fillId="0" borderId="17" xfId="0" applyNumberFormat="1" applyFont="1" applyFill="1" applyBorder="1" applyAlignment="1" applyProtection="1">
      <alignment horizontal="center" vertical="center"/>
      <protection locked="0"/>
    </xf>
    <xf numFmtId="0" fontId="118" fillId="0" borderId="0" xfId="0" applyFont="1" applyFill="1" applyBorder="1" applyAlignment="1">
      <alignment horizontal="center" vertical="center"/>
    </xf>
    <xf numFmtId="0" fontId="118" fillId="0" borderId="13" xfId="0" applyFont="1" applyFill="1" applyBorder="1" applyAlignment="1">
      <alignment horizontal="center" vertical="center"/>
    </xf>
    <xf numFmtId="0" fontId="116" fillId="0" borderId="13" xfId="0" applyNumberFormat="1" applyFont="1" applyFill="1" applyBorder="1" applyAlignment="1" applyProtection="1">
      <alignment horizontal="center" vertical="center"/>
    </xf>
    <xf numFmtId="0" fontId="116" fillId="0" borderId="0" xfId="0" applyNumberFormat="1" applyFont="1" applyFill="1" applyBorder="1" applyAlignment="1" applyProtection="1">
      <alignment horizontal="center" vertical="center"/>
    </xf>
    <xf numFmtId="0" fontId="116" fillId="0" borderId="0" xfId="0" applyFont="1" applyFill="1" applyBorder="1" applyAlignment="1" applyProtection="1">
      <alignment horizontal="center" vertical="center" wrapText="1"/>
    </xf>
    <xf numFmtId="0" fontId="117" fillId="0" borderId="0" xfId="0" applyFont="1" applyFill="1" applyBorder="1" applyAlignment="1">
      <alignment horizontal="center" vertical="center" wrapText="1"/>
    </xf>
    <xf numFmtId="169" fontId="117" fillId="0" borderId="17" xfId="0" applyNumberFormat="1" applyFont="1" applyFill="1" applyBorder="1" applyAlignment="1" applyProtection="1">
      <alignment horizontal="center" vertical="center"/>
      <protection hidden="1"/>
    </xf>
    <xf numFmtId="169" fontId="119" fillId="0" borderId="0" xfId="0" applyNumberFormat="1" applyFont="1" applyFill="1" applyBorder="1" applyAlignment="1" applyProtection="1">
      <alignment horizontal="center" vertical="center"/>
      <protection hidden="1"/>
    </xf>
    <xf numFmtId="0" fontId="116" fillId="0" borderId="52" xfId="0" quotePrefix="1" applyNumberFormat="1" applyFont="1" applyFill="1" applyBorder="1" applyAlignment="1" applyProtection="1">
      <alignment horizontal="center" vertical="center"/>
      <protection locked="0"/>
    </xf>
    <xf numFmtId="0" fontId="116" fillId="0" borderId="53" xfId="0" quotePrefix="1" applyNumberFormat="1" applyFont="1" applyFill="1" applyBorder="1" applyAlignment="1" applyProtection="1">
      <alignment horizontal="center" vertical="center"/>
      <protection locked="0"/>
    </xf>
    <xf numFmtId="0" fontId="116" fillId="0" borderId="54" xfId="0" quotePrefix="1" applyNumberFormat="1" applyFont="1" applyFill="1" applyBorder="1" applyAlignment="1" applyProtection="1">
      <alignment horizontal="center" vertical="center"/>
      <protection locked="0"/>
    </xf>
    <xf numFmtId="1" fontId="116" fillId="16" borderId="55" xfId="0" applyNumberFormat="1" applyFont="1" applyFill="1" applyBorder="1" applyAlignment="1" applyProtection="1">
      <alignment horizontal="center" vertical="center"/>
      <protection locked="0"/>
    </xf>
    <xf numFmtId="1" fontId="116" fillId="16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0" fontId="108" fillId="18" borderId="0" xfId="0" applyFont="1" applyFill="1" applyBorder="1" applyAlignment="1" applyProtection="1">
      <alignment vertical="center"/>
    </xf>
    <xf numFmtId="0" fontId="103" fillId="18" borderId="0" xfId="0" applyNumberFormat="1" applyFont="1" applyFill="1" applyBorder="1" applyAlignment="1" applyProtection="1">
      <alignment horizontal="left"/>
      <protection locked="0"/>
    </xf>
    <xf numFmtId="0" fontId="27" fillId="18" borderId="0" xfId="0" applyFont="1" applyFill="1" applyBorder="1"/>
    <xf numFmtId="0" fontId="27" fillId="18" borderId="0" xfId="0" applyFont="1" applyFill="1" applyBorder="1" applyAlignment="1">
      <alignment horizontal="center"/>
    </xf>
    <xf numFmtId="0" fontId="27" fillId="18" borderId="0" xfId="0" applyFont="1" applyFill="1"/>
    <xf numFmtId="0" fontId="29" fillId="18" borderId="0" xfId="0" applyFont="1" applyFill="1" applyBorder="1" applyAlignment="1">
      <alignment horizontal="left" textRotation="90" wrapText="1"/>
    </xf>
    <xf numFmtId="0" fontId="27" fillId="18" borderId="57" xfId="0" applyFont="1" applyFill="1" applyBorder="1"/>
    <xf numFmtId="0" fontId="26" fillId="0" borderId="57" xfId="0" applyFont="1" applyFill="1" applyBorder="1"/>
    <xf numFmtId="0" fontId="27" fillId="0" borderId="57" xfId="0" applyFont="1" applyFill="1" applyBorder="1"/>
    <xf numFmtId="0" fontId="120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/>
    </xf>
    <xf numFmtId="16" fontId="26" fillId="0" borderId="0" xfId="0" quotePrefix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Fill="1" applyBorder="1" applyProtection="1">
      <protection hidden="1"/>
    </xf>
    <xf numFmtId="9" fontId="121" fillId="14" borderId="0" xfId="0" applyNumberFormat="1" applyFont="1" applyFill="1" applyBorder="1" applyAlignment="1" applyProtection="1">
      <protection hidden="1"/>
    </xf>
    <xf numFmtId="0" fontId="26" fillId="16" borderId="0" xfId="0" applyFont="1" applyFill="1" applyBorder="1" applyAlignment="1" applyProtection="1">
      <alignment horizontal="center" vertical="center"/>
    </xf>
    <xf numFmtId="1" fontId="34" fillId="16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Protection="1"/>
    <xf numFmtId="0" fontId="54" fillId="0" borderId="0" xfId="0" applyFont="1"/>
    <xf numFmtId="0" fontId="54" fillId="13" borderId="0" xfId="0" applyFont="1" applyFill="1" applyAlignment="1" applyProtection="1">
      <alignment horizontal="right" vertical="center"/>
      <protection hidden="1"/>
    </xf>
    <xf numFmtId="0" fontId="53" fillId="13" borderId="0" xfId="0" applyFont="1" applyFill="1" applyAlignment="1" applyProtection="1">
      <alignment horizontal="right" vertical="center"/>
      <protection hidden="1"/>
    </xf>
    <xf numFmtId="0" fontId="54" fillId="13" borderId="0" xfId="0" applyFont="1" applyFill="1" applyBorder="1" applyAlignment="1" applyProtection="1">
      <alignment horizontal="right" vertical="center"/>
      <protection hidden="1"/>
    </xf>
    <xf numFmtId="0" fontId="54" fillId="0" borderId="0" xfId="0" applyFont="1" applyAlignment="1">
      <alignment vertical="center"/>
    </xf>
    <xf numFmtId="0" fontId="54" fillId="0" borderId="0" xfId="0" applyFont="1" applyFill="1" applyBorder="1"/>
    <xf numFmtId="0" fontId="122" fillId="0" borderId="0" xfId="0" applyNumberFormat="1" applyFont="1" applyBorder="1" applyAlignment="1" applyProtection="1">
      <alignment horizontal="left"/>
      <protection locked="0"/>
    </xf>
    <xf numFmtId="0" fontId="54" fillId="0" borderId="0" xfId="0" applyFont="1" applyBorder="1"/>
    <xf numFmtId="0" fontId="110" fillId="13" borderId="0" xfId="0" applyFont="1" applyFill="1" applyBorder="1" applyAlignment="1" applyProtection="1">
      <alignment horizontal="right" vertical="top"/>
      <protection hidden="1"/>
    </xf>
    <xf numFmtId="49" fontId="27" fillId="0" borderId="0" xfId="17" applyNumberFormat="1" applyFont="1" applyBorder="1" applyAlignment="1" applyProtection="1">
      <alignment horizontal="left"/>
    </xf>
    <xf numFmtId="49" fontId="27" fillId="13" borderId="0" xfId="17" applyNumberFormat="1" applyFont="1" applyFill="1" applyProtection="1"/>
    <xf numFmtId="49" fontId="27" fillId="13" borderId="0" xfId="17" applyNumberFormat="1" applyFont="1" applyFill="1" applyBorder="1" applyProtection="1"/>
    <xf numFmtId="0" fontId="27" fillId="0" borderId="0" xfId="17" applyFont="1" applyProtection="1"/>
    <xf numFmtId="0" fontId="100" fillId="15" borderId="0" xfId="0" quotePrefix="1" applyNumberFormat="1" applyFont="1" applyFill="1" applyProtection="1"/>
    <xf numFmtId="0" fontId="0" fillId="0" borderId="0" xfId="0" applyNumberFormat="1"/>
    <xf numFmtId="0" fontId="27" fillId="0" borderId="0" xfId="0" applyFont="1" applyFill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53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49" fontId="103" fillId="0" borderId="0" xfId="0" applyNumberFormat="1" applyFont="1" applyBorder="1" applyAlignment="1" applyProtection="1">
      <alignment vertical="center"/>
      <protection locked="0"/>
    </xf>
    <xf numFmtId="0" fontId="32" fillId="0" borderId="0" xfId="0" applyFont="1" applyFill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Alignment="1" applyProtection="1">
      <protection hidden="1"/>
    </xf>
    <xf numFmtId="0" fontId="27" fillId="0" borderId="20" xfId="0" applyFont="1" applyFill="1" applyBorder="1" applyAlignment="1" applyProtection="1">
      <alignment horizontal="left" vertical="center"/>
      <protection hidden="1"/>
    </xf>
    <xf numFmtId="0" fontId="28" fillId="0" borderId="21" xfId="0" applyFont="1" applyFill="1" applyBorder="1" applyAlignment="1" applyProtection="1">
      <alignment horizontal="right" vertical="center"/>
      <protection hidden="1"/>
    </xf>
    <xf numFmtId="0" fontId="123" fillId="0" borderId="0" xfId="0" applyFont="1" applyFill="1" applyBorder="1" applyAlignment="1" applyProtection="1">
      <alignment vertical="top" textRotation="180"/>
      <protection hidden="1"/>
    </xf>
    <xf numFmtId="0" fontId="124" fillId="0" borderId="22" xfId="0" applyFont="1" applyFill="1" applyBorder="1" applyAlignment="1" applyProtection="1">
      <alignment vertical="top" textRotation="180"/>
      <protection hidden="1"/>
    </xf>
    <xf numFmtId="0" fontId="26" fillId="0" borderId="0" xfId="0" applyNumberFormat="1" applyFont="1"/>
    <xf numFmtId="166" fontId="125" fillId="0" borderId="58" xfId="0" applyNumberFormat="1" applyFont="1" applyFill="1" applyBorder="1" applyAlignment="1" applyProtection="1">
      <alignment horizontal="right"/>
      <protection hidden="1"/>
    </xf>
    <xf numFmtId="166" fontId="125" fillId="0" borderId="59" xfId="0" applyNumberFormat="1" applyFont="1" applyFill="1" applyBorder="1" applyAlignment="1" applyProtection="1">
      <alignment horizontal="right"/>
      <protection hidden="1"/>
    </xf>
    <xf numFmtId="166" fontId="125" fillId="0" borderId="59" xfId="0" applyNumberFormat="1" applyFont="1" applyFill="1" applyBorder="1" applyProtection="1">
      <protection hidden="1"/>
    </xf>
    <xf numFmtId="0" fontId="52" fillId="0" borderId="0" xfId="0" applyFont="1" applyFill="1" applyBorder="1" applyAlignment="1" applyProtection="1">
      <alignment vertical="top" textRotation="180"/>
      <protection hidden="1"/>
    </xf>
    <xf numFmtId="166" fontId="125" fillId="0" borderId="60" xfId="0" applyNumberFormat="1" applyFont="1" applyFill="1" applyBorder="1" applyProtection="1">
      <protection hidden="1"/>
    </xf>
    <xf numFmtId="0" fontId="26" fillId="0" borderId="0" xfId="0" applyFont="1" applyFill="1" applyProtection="1">
      <protection hidden="1"/>
    </xf>
    <xf numFmtId="4" fontId="31" fillId="0" borderId="0" xfId="0" applyNumberFormat="1" applyFont="1" applyFill="1" applyBorder="1" applyAlignment="1" applyProtection="1"/>
    <xf numFmtId="0" fontId="56" fillId="0" borderId="0" xfId="0" applyFont="1" applyFill="1" applyBorder="1" applyAlignment="1" applyProtection="1">
      <alignment horizontal="center"/>
    </xf>
    <xf numFmtId="164" fontId="57" fillId="0" borderId="0" xfId="0" applyNumberFormat="1" applyFont="1" applyFill="1" applyBorder="1" applyAlignment="1" applyProtection="1">
      <alignment horizontal="center"/>
    </xf>
    <xf numFmtId="164" fontId="38" fillId="0" borderId="0" xfId="0" applyNumberFormat="1" applyFont="1" applyFill="1" applyBorder="1" applyAlignment="1">
      <alignment horizontal="center"/>
    </xf>
    <xf numFmtId="0" fontId="38" fillId="0" borderId="0" xfId="17" applyFont="1" applyBorder="1" applyProtection="1">
      <protection hidden="1"/>
    </xf>
    <xf numFmtId="0" fontId="38" fillId="0" borderId="0" xfId="17" applyFont="1" applyProtection="1">
      <protection hidden="1"/>
    </xf>
    <xf numFmtId="164" fontId="57" fillId="0" borderId="0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49" fontId="126" fillId="0" borderId="0" xfId="0" applyNumberFormat="1" applyFont="1" applyBorder="1" applyAlignment="1" applyProtection="1">
      <alignment vertical="center"/>
      <protection hidden="1"/>
    </xf>
    <xf numFmtId="0" fontId="117" fillId="0" borderId="10" xfId="0" applyFont="1" applyFill="1" applyBorder="1" applyAlignment="1" applyProtection="1">
      <alignment horizontal="center" vertical="center" wrapText="1"/>
      <protection hidden="1"/>
    </xf>
    <xf numFmtId="0" fontId="31" fillId="0" borderId="15" xfId="0" applyFont="1" applyFill="1" applyBorder="1" applyAlignment="1" applyProtection="1">
      <alignment horizontal="center" vertical="center" wrapText="1"/>
      <protection hidden="1"/>
    </xf>
    <xf numFmtId="0" fontId="26" fillId="0" borderId="15" xfId="0" applyFont="1" applyFill="1" applyBorder="1" applyAlignment="1" applyProtection="1">
      <alignment horizontal="center" vertical="center" wrapText="1"/>
      <protection hidden="1"/>
    </xf>
    <xf numFmtId="0" fontId="127" fillId="17" borderId="0" xfId="0" applyFont="1" applyFill="1" applyBorder="1" applyAlignment="1" applyProtection="1">
      <alignment vertical="center"/>
    </xf>
    <xf numFmtId="0" fontId="111" fillId="0" borderId="61" xfId="0" applyFont="1" applyFill="1" applyBorder="1" applyAlignment="1" applyProtection="1">
      <alignment horizontal="center" vertical="center"/>
      <protection locked="0"/>
    </xf>
    <xf numFmtId="0" fontId="111" fillId="0" borderId="62" xfId="0" applyFont="1" applyFill="1" applyBorder="1" applyAlignment="1" applyProtection="1">
      <alignment horizontal="center" vertical="center"/>
      <protection locked="0"/>
    </xf>
    <xf numFmtId="0" fontId="111" fillId="0" borderId="63" xfId="0" applyFont="1" applyFill="1" applyBorder="1" applyAlignment="1" applyProtection="1">
      <alignment horizontal="center" vertical="center"/>
      <protection locked="0"/>
    </xf>
    <xf numFmtId="0" fontId="111" fillId="0" borderId="64" xfId="0" applyFont="1" applyFill="1" applyBorder="1" applyAlignment="1" applyProtection="1">
      <alignment horizontal="center" vertical="center"/>
      <protection locked="0"/>
    </xf>
    <xf numFmtId="0" fontId="111" fillId="0" borderId="65" xfId="0" applyFont="1" applyFill="1" applyBorder="1" applyAlignment="1" applyProtection="1">
      <alignment horizontal="center" vertical="center"/>
      <protection locked="0"/>
    </xf>
    <xf numFmtId="0" fontId="111" fillId="0" borderId="66" xfId="0" applyFont="1" applyFill="1" applyBorder="1" applyAlignment="1" applyProtection="1">
      <alignment horizontal="center" vertical="center"/>
      <protection locked="0"/>
    </xf>
    <xf numFmtId="0" fontId="128" fillId="0" borderId="65" xfId="0" applyFont="1" applyFill="1" applyBorder="1" applyAlignment="1" applyProtection="1">
      <alignment horizontal="center" vertical="center"/>
      <protection locked="0"/>
    </xf>
    <xf numFmtId="0" fontId="128" fillId="0" borderId="66" xfId="0" applyFont="1" applyFill="1" applyBorder="1" applyAlignment="1" applyProtection="1">
      <alignment horizontal="center" vertical="center"/>
      <protection locked="0"/>
    </xf>
    <xf numFmtId="0" fontId="128" fillId="0" borderId="62" xfId="0" applyFont="1" applyFill="1" applyBorder="1" applyAlignment="1" applyProtection="1">
      <alignment horizontal="center" vertical="center"/>
      <protection locked="0"/>
    </xf>
    <xf numFmtId="0" fontId="128" fillId="0" borderId="67" xfId="0" applyFont="1" applyFill="1" applyBorder="1" applyAlignment="1" applyProtection="1">
      <alignment horizontal="center" vertical="center"/>
      <protection locked="0"/>
    </xf>
    <xf numFmtId="0" fontId="128" fillId="0" borderId="68" xfId="0" applyFont="1" applyFill="1" applyBorder="1" applyAlignment="1" applyProtection="1">
      <alignment horizontal="center" vertical="center"/>
      <protection locked="0"/>
    </xf>
    <xf numFmtId="0" fontId="128" fillId="0" borderId="69" xfId="0" applyFont="1" applyFill="1" applyBorder="1" applyAlignment="1" applyProtection="1">
      <alignment horizontal="center" vertical="center"/>
      <protection locked="0"/>
    </xf>
    <xf numFmtId="0" fontId="111" fillId="0" borderId="67" xfId="0" applyFont="1" applyFill="1" applyBorder="1" applyAlignment="1" applyProtection="1">
      <alignment horizontal="center" vertical="center"/>
      <protection locked="0"/>
    </xf>
    <xf numFmtId="0" fontId="111" fillId="0" borderId="68" xfId="0" applyFont="1" applyFill="1" applyBorder="1" applyAlignment="1" applyProtection="1">
      <alignment horizontal="center" vertical="center"/>
      <protection locked="0"/>
    </xf>
    <xf numFmtId="0" fontId="111" fillId="0" borderId="6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0" xfId="0" applyFont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9" fillId="0" borderId="0" xfId="0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58" fillId="0" borderId="0" xfId="0" applyFont="1" applyAlignment="1">
      <alignment vertical="center"/>
    </xf>
    <xf numFmtId="0" fontId="0" fillId="19" borderId="0" xfId="0" applyFill="1"/>
    <xf numFmtId="0" fontId="0" fillId="19" borderId="0" xfId="0" applyFill="1" applyBorder="1"/>
    <xf numFmtId="0" fontId="24" fillId="0" borderId="0" xfId="0" applyFont="1"/>
    <xf numFmtId="169" fontId="1" fillId="0" borderId="0" xfId="0" applyNumberFormat="1" applyFont="1" applyFill="1" applyBorder="1"/>
    <xf numFmtId="0" fontId="62" fillId="0" borderId="0" xfId="0" applyFont="1" applyAlignment="1">
      <alignment vertical="center"/>
    </xf>
    <xf numFmtId="0" fontId="0" fillId="0" borderId="0" xfId="0" applyAlignment="1"/>
    <xf numFmtId="2" fontId="112" fillId="0" borderId="70" xfId="0" applyNumberFormat="1" applyFont="1" applyFill="1" applyBorder="1" applyAlignment="1" applyProtection="1">
      <alignment horizontal="left" vertical="center"/>
      <protection hidden="1"/>
    </xf>
    <xf numFmtId="1" fontId="112" fillId="0" borderId="70" xfId="0" applyNumberFormat="1" applyFont="1" applyFill="1" applyBorder="1" applyAlignment="1" applyProtection="1">
      <alignment vertical="center"/>
      <protection hidden="1"/>
    </xf>
    <xf numFmtId="2" fontId="112" fillId="0" borderId="70" xfId="0" applyNumberFormat="1" applyFont="1" applyFill="1" applyBorder="1" applyAlignment="1" applyProtection="1">
      <alignment vertical="center"/>
      <protection hidden="1"/>
    </xf>
    <xf numFmtId="166" fontId="112" fillId="0" borderId="70" xfId="0" applyNumberFormat="1" applyFont="1" applyFill="1" applyBorder="1" applyAlignment="1" applyProtection="1">
      <alignment vertical="center"/>
      <protection hidden="1"/>
    </xf>
    <xf numFmtId="2" fontId="112" fillId="0" borderId="70" xfId="0" applyNumberFormat="1" applyFont="1" applyFill="1" applyBorder="1" applyAlignment="1" applyProtection="1">
      <alignment horizontal="left" vertical="center" wrapText="1"/>
      <protection hidden="1"/>
    </xf>
    <xf numFmtId="2" fontId="129" fillId="17" borderId="70" xfId="0" applyNumberFormat="1" applyFont="1" applyFill="1" applyBorder="1" applyAlignment="1" applyProtection="1">
      <alignment horizontal="left" vertical="center"/>
      <protection hidden="1"/>
    </xf>
    <xf numFmtId="2" fontId="112" fillId="20" borderId="70" xfId="0" applyNumberFormat="1" applyFont="1" applyFill="1" applyBorder="1" applyAlignment="1" applyProtection="1">
      <protection hidden="1"/>
    </xf>
    <xf numFmtId="2" fontId="112" fillId="0" borderId="70" xfId="0" applyNumberFormat="1" applyFont="1" applyFill="1" applyBorder="1" applyAlignment="1" applyProtection="1">
      <alignment horizontal="right" vertical="center"/>
      <protection hidden="1"/>
    </xf>
    <xf numFmtId="9" fontId="130" fillId="0" borderId="70" xfId="19" applyFont="1" applyFill="1" applyBorder="1" applyAlignment="1" applyProtection="1">
      <alignment horizontal="center" vertical="center"/>
      <protection hidden="1"/>
    </xf>
    <xf numFmtId="9" fontId="112" fillId="0" borderId="70" xfId="19" applyFont="1" applyFill="1" applyBorder="1" applyAlignment="1" applyProtection="1">
      <alignment vertical="center"/>
      <protection hidden="1"/>
    </xf>
    <xf numFmtId="2" fontId="129" fillId="17" borderId="70" xfId="0" applyNumberFormat="1" applyFont="1" applyFill="1" applyBorder="1" applyAlignment="1" applyProtection="1">
      <alignment vertical="center"/>
      <protection hidden="1"/>
    </xf>
    <xf numFmtId="2" fontId="131" fillId="0" borderId="70" xfId="0" applyNumberFormat="1" applyFont="1" applyFill="1" applyBorder="1" applyAlignment="1" applyProtection="1">
      <alignment vertical="center"/>
      <protection hidden="1"/>
    </xf>
    <xf numFmtId="2" fontId="112" fillId="0" borderId="23" xfId="0" applyNumberFormat="1" applyFont="1" applyFill="1" applyBorder="1"/>
    <xf numFmtId="0" fontId="112" fillId="0" borderId="0" xfId="0" applyFont="1" applyFill="1" applyBorder="1"/>
    <xf numFmtId="0" fontId="112" fillId="0" borderId="10" xfId="0" applyFont="1" applyFill="1" applyBorder="1" applyAlignment="1">
      <alignment horizontal="center"/>
    </xf>
    <xf numFmtId="0" fontId="112" fillId="0" borderId="10" xfId="0" applyFont="1" applyFill="1" applyBorder="1"/>
    <xf numFmtId="2" fontId="112" fillId="0" borderId="0" xfId="0" applyNumberFormat="1" applyFont="1" applyFill="1" applyBorder="1"/>
    <xf numFmtId="170" fontId="112" fillId="0" borderId="0" xfId="19" applyNumberFormat="1" applyFont="1" applyFill="1" applyBorder="1"/>
    <xf numFmtId="1" fontId="112" fillId="0" borderId="24" xfId="0" applyNumberFormat="1" applyFont="1" applyFill="1" applyBorder="1"/>
    <xf numFmtId="0" fontId="112" fillId="0" borderId="25" xfId="0" applyFont="1" applyFill="1" applyBorder="1" applyAlignment="1">
      <alignment horizontal="center"/>
    </xf>
    <xf numFmtId="1" fontId="112" fillId="0" borderId="10" xfId="0" applyNumberFormat="1" applyFont="1" applyFill="1" applyBorder="1"/>
    <xf numFmtId="0" fontId="132" fillId="0" borderId="11" xfId="0" applyFont="1" applyFill="1" applyBorder="1" applyAlignment="1">
      <alignment horizontal="right" vertical="center"/>
    </xf>
    <xf numFmtId="0" fontId="112" fillId="0" borderId="26" xfId="0" applyFont="1" applyFill="1" applyBorder="1"/>
    <xf numFmtId="0" fontId="132" fillId="0" borderId="17" xfId="0" applyFont="1" applyFill="1" applyBorder="1" applyAlignment="1">
      <alignment horizontal="right" vertical="center"/>
    </xf>
    <xf numFmtId="0" fontId="112" fillId="0" borderId="27" xfId="0" applyFont="1" applyFill="1" applyBorder="1"/>
    <xf numFmtId="0" fontId="112" fillId="0" borderId="0" xfId="0" applyFont="1" applyFill="1" applyBorder="1" applyAlignment="1">
      <alignment horizontal="right"/>
    </xf>
    <xf numFmtId="9" fontId="112" fillId="0" borderId="0" xfId="19" applyFont="1" applyFill="1" applyBorder="1"/>
    <xf numFmtId="2" fontId="129" fillId="17" borderId="70" xfId="0" applyNumberFormat="1" applyFont="1" applyFill="1" applyBorder="1" applyAlignment="1" applyProtection="1">
      <alignment horizontal="center" vertical="center"/>
      <protection hidden="1"/>
    </xf>
    <xf numFmtId="2" fontId="129" fillId="17" borderId="70" xfId="0" applyNumberFormat="1" applyFont="1" applyFill="1" applyBorder="1" applyAlignment="1" applyProtection="1">
      <alignment horizontal="center" vertical="center" wrapText="1"/>
      <protection hidden="1"/>
    </xf>
    <xf numFmtId="2" fontId="133" fillId="17" borderId="70" xfId="0" applyNumberFormat="1" applyFont="1" applyFill="1" applyBorder="1" applyAlignment="1" applyProtection="1">
      <alignment horizontal="center" vertical="center"/>
      <protection hidden="1"/>
    </xf>
    <xf numFmtId="0" fontId="0" fillId="0" borderId="71" xfId="0" applyBorder="1"/>
    <xf numFmtId="2" fontId="131" fillId="0" borderId="70" xfId="0" applyNumberFormat="1" applyFont="1" applyFill="1" applyBorder="1" applyAlignment="1" applyProtection="1">
      <alignment horizontal="left" vertical="center"/>
      <protection hidden="1"/>
    </xf>
    <xf numFmtId="0" fontId="131" fillId="0" borderId="70" xfId="0" applyNumberFormat="1" applyFont="1" applyFill="1" applyBorder="1" applyAlignment="1" applyProtection="1">
      <alignment horizontal="center" vertical="center"/>
      <protection hidden="1"/>
    </xf>
    <xf numFmtId="0" fontId="131" fillId="0" borderId="70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Alignment="1"/>
    <xf numFmtId="2" fontId="134" fillId="0" borderId="70" xfId="0" applyNumberFormat="1" applyFont="1" applyFill="1" applyBorder="1" applyAlignment="1" applyProtection="1">
      <alignment horizontal="left" vertical="center"/>
      <protection hidden="1"/>
    </xf>
    <xf numFmtId="0" fontId="106" fillId="0" borderId="0" xfId="0" quotePrefix="1" applyNumberFormat="1" applyFont="1" applyFill="1" applyBorder="1" applyAlignment="1" applyProtection="1">
      <alignment horizontal="center" vertical="center"/>
      <protection locked="0"/>
    </xf>
    <xf numFmtId="166" fontId="131" fillId="0" borderId="70" xfId="0" applyNumberFormat="1" applyFont="1" applyFill="1" applyBorder="1" applyAlignment="1" applyProtection="1">
      <alignment vertical="center"/>
      <protection hidden="1"/>
    </xf>
    <xf numFmtId="2" fontId="131" fillId="0" borderId="72" xfId="0" applyNumberFormat="1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/>
    <xf numFmtId="0" fontId="109" fillId="0" borderId="0" xfId="0" applyFont="1" applyFill="1" applyBorder="1" applyAlignment="1" applyProtection="1">
      <alignment horizontal="right"/>
    </xf>
    <xf numFmtId="0" fontId="39" fillId="0" borderId="0" xfId="0" applyFont="1" applyFill="1" applyBorder="1" applyAlignment="1" applyProtection="1">
      <alignment horizontal="right"/>
    </xf>
    <xf numFmtId="0" fontId="130" fillId="0" borderId="70" xfId="19" applyNumberFormat="1" applyFont="1" applyFill="1" applyBorder="1" applyAlignment="1" applyProtection="1">
      <alignment horizontal="center" vertical="center"/>
      <protection hidden="1"/>
    </xf>
    <xf numFmtId="169" fontId="58" fillId="0" borderId="0" xfId="0" applyNumberFormat="1" applyFont="1" applyFill="1" applyBorder="1"/>
    <xf numFmtId="169" fontId="58" fillId="0" borderId="0" xfId="0" applyNumberFormat="1" applyFont="1" applyFill="1" applyBorder="1" applyAlignment="1"/>
    <xf numFmtId="169" fontId="58" fillId="0" borderId="0" xfId="0" applyNumberFormat="1" applyFont="1"/>
    <xf numFmtId="169" fontId="1" fillId="0" borderId="0" xfId="0" applyNumberFormat="1" applyFont="1" applyFill="1" applyBorder="1" applyAlignment="1">
      <alignment vertical="center"/>
    </xf>
    <xf numFmtId="169" fontId="1" fillId="0" borderId="0" xfId="0" applyNumberFormat="1" applyFont="1" applyFill="1" applyBorder="1" applyAlignment="1">
      <alignment vertical="top"/>
    </xf>
    <xf numFmtId="0" fontId="113" fillId="0" borderId="0" xfId="0" applyFont="1" applyFill="1" applyBorder="1" applyAlignment="1">
      <alignment horizontal="left" vertical="top"/>
    </xf>
    <xf numFmtId="0" fontId="135" fillId="16" borderId="73" xfId="0" applyFont="1" applyFill="1" applyBorder="1" applyAlignment="1" applyProtection="1">
      <alignment horizontal="center" vertical="center"/>
      <protection locked="0"/>
    </xf>
    <xf numFmtId="2" fontId="135" fillId="0" borderId="70" xfId="0" applyNumberFormat="1" applyFont="1" applyFill="1" applyBorder="1" applyAlignment="1" applyProtection="1">
      <alignment horizontal="center" vertical="center"/>
      <protection hidden="1"/>
    </xf>
    <xf numFmtId="9" fontId="135" fillId="0" borderId="70" xfId="19" applyFont="1" applyFill="1" applyBorder="1" applyAlignment="1" applyProtection="1">
      <alignment horizontal="center" vertical="center"/>
      <protection hidden="1"/>
    </xf>
    <xf numFmtId="2" fontId="135" fillId="0" borderId="74" xfId="0" applyNumberFormat="1" applyFont="1" applyFill="1" applyBorder="1" applyAlignment="1" applyProtection="1">
      <alignment horizontal="center" vertical="center"/>
      <protection hidden="1"/>
    </xf>
    <xf numFmtId="2" fontId="135" fillId="0" borderId="73" xfId="0" applyNumberFormat="1" applyFont="1" applyFill="1" applyBorder="1" applyAlignment="1" applyProtection="1">
      <alignment horizontal="center" vertical="center"/>
      <protection hidden="1"/>
    </xf>
    <xf numFmtId="0" fontId="135" fillId="0" borderId="50" xfId="0" applyNumberFormat="1" applyFont="1" applyFill="1" applyBorder="1" applyAlignment="1" applyProtection="1">
      <alignment horizontal="center" vertical="center"/>
      <protection hidden="1"/>
    </xf>
    <xf numFmtId="0" fontId="130" fillId="0" borderId="50" xfId="19" applyNumberFormat="1" applyFont="1" applyFill="1" applyBorder="1" applyAlignment="1" applyProtection="1">
      <alignment horizontal="center" vertical="center"/>
      <protection hidden="1"/>
    </xf>
    <xf numFmtId="0" fontId="54" fillId="21" borderId="75" xfId="0" applyFont="1" applyFill="1" applyBorder="1" applyAlignment="1" applyProtection="1">
      <alignment horizontal="left" vertical="center"/>
      <protection locked="0"/>
    </xf>
    <xf numFmtId="0" fontId="54" fillId="21" borderId="76" xfId="0" applyFont="1" applyFill="1" applyBorder="1" applyAlignment="1" applyProtection="1">
      <alignment horizontal="left" vertical="center"/>
      <protection locked="0"/>
    </xf>
    <xf numFmtId="0" fontId="54" fillId="21" borderId="77" xfId="0" applyFont="1" applyFill="1" applyBorder="1" applyAlignment="1" applyProtection="1">
      <alignment horizontal="left" vertical="center"/>
      <protection locked="0"/>
    </xf>
    <xf numFmtId="0" fontId="136" fillId="0" borderId="0" xfId="0" applyFont="1" applyBorder="1" applyAlignment="1">
      <alignment horizontal="left"/>
    </xf>
    <xf numFmtId="0" fontId="137" fillId="0" borderId="0" xfId="0" applyFont="1" applyFill="1" applyBorder="1" applyAlignment="1">
      <alignment horizontal="left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 applyAlignment="1">
      <alignment horizontal="left" vertical="center"/>
    </xf>
    <xf numFmtId="0" fontId="138" fillId="0" borderId="0" xfId="0" applyFont="1" applyFill="1" applyBorder="1" applyAlignment="1">
      <alignment horizontal="left" vertical="top"/>
    </xf>
    <xf numFmtId="0" fontId="138" fillId="0" borderId="0" xfId="0" applyFont="1" applyFill="1" applyBorder="1" applyAlignment="1">
      <alignment horizontal="left"/>
    </xf>
    <xf numFmtId="9" fontId="69" fillId="14" borderId="0" xfId="0" applyNumberFormat="1" applyFont="1" applyFill="1" applyBorder="1" applyAlignment="1" applyProtection="1">
      <alignment horizontal="center"/>
      <protection hidden="1"/>
    </xf>
    <xf numFmtId="0" fontId="139" fillId="0" borderId="0" xfId="0" applyFont="1" applyBorder="1"/>
    <xf numFmtId="0" fontId="140" fillId="0" borderId="0" xfId="0" applyFont="1" applyFill="1" applyBorder="1" applyAlignment="1">
      <alignment horizontal="center" vertical="center" textRotation="90" wrapText="1"/>
    </xf>
    <xf numFmtId="0" fontId="139" fillId="0" borderId="0" xfId="0" applyFont="1" applyFill="1" applyBorder="1"/>
    <xf numFmtId="0" fontId="139" fillId="0" borderId="0" xfId="0" applyFont="1" applyFill="1" applyBorder="1" applyAlignment="1"/>
    <xf numFmtId="169" fontId="141" fillId="0" borderId="0" xfId="0" applyNumberFormat="1" applyFont="1" applyFill="1" applyBorder="1" applyAlignment="1" applyProtection="1">
      <alignment horizontal="right" vertical="center"/>
    </xf>
    <xf numFmtId="0" fontId="139" fillId="0" borderId="78" xfId="0" applyFont="1" applyFill="1" applyBorder="1"/>
    <xf numFmtId="0" fontId="141" fillId="0" borderId="0" xfId="0" applyNumberFormat="1" applyFont="1" applyFill="1" applyBorder="1" applyAlignment="1" applyProtection="1">
      <alignment horizontal="right" vertical="center"/>
    </xf>
    <xf numFmtId="164" fontId="141" fillId="0" borderId="0" xfId="0" applyNumberFormat="1" applyFont="1" applyFill="1" applyBorder="1" applyAlignment="1"/>
    <xf numFmtId="1" fontId="141" fillId="0" borderId="0" xfId="0" applyNumberFormat="1" applyFont="1" applyFill="1" applyBorder="1" applyAlignment="1" applyProtection="1">
      <alignment horizontal="center" vertical="center"/>
    </xf>
    <xf numFmtId="0" fontId="142" fillId="0" borderId="0" xfId="0" applyFont="1" applyFill="1" applyBorder="1" applyAlignment="1">
      <alignment horizontal="left" textRotation="90" wrapText="1"/>
    </xf>
    <xf numFmtId="2" fontId="142" fillId="0" borderId="0" xfId="0" applyNumberFormat="1" applyFont="1" applyFill="1" applyBorder="1" applyAlignment="1" applyProtection="1"/>
    <xf numFmtId="1" fontId="141" fillId="0" borderId="0" xfId="0" applyNumberFormat="1" applyFont="1" applyFill="1" applyBorder="1" applyAlignment="1" applyProtection="1">
      <alignment horizontal="right" vertical="center"/>
    </xf>
    <xf numFmtId="0" fontId="141" fillId="0" borderId="0" xfId="0" applyFont="1" applyFill="1" applyBorder="1"/>
    <xf numFmtId="165" fontId="141" fillId="0" borderId="78" xfId="0" applyNumberFormat="1" applyFont="1" applyFill="1" applyBorder="1" applyAlignment="1" applyProtection="1">
      <alignment horizontal="right"/>
    </xf>
    <xf numFmtId="165" fontId="141" fillId="0" borderId="0" xfId="0" applyNumberFormat="1" applyFont="1" applyFill="1" applyBorder="1" applyAlignment="1" applyProtection="1">
      <alignment horizontal="right"/>
    </xf>
    <xf numFmtId="165" fontId="141" fillId="0" borderId="79" xfId="0" applyNumberFormat="1" applyFont="1" applyFill="1" applyBorder="1" applyAlignment="1" applyProtection="1">
      <alignment horizontal="right" vertical="center"/>
    </xf>
    <xf numFmtId="165" fontId="141" fillId="0" borderId="80" xfId="0" applyNumberFormat="1" applyFont="1" applyFill="1" applyBorder="1" applyAlignment="1" applyProtection="1">
      <alignment horizontal="right"/>
    </xf>
    <xf numFmtId="165" fontId="141" fillId="0" borderId="79" xfId="0" applyNumberFormat="1" applyFont="1" applyFill="1" applyBorder="1" applyAlignment="1" applyProtection="1">
      <alignment horizontal="right"/>
    </xf>
    <xf numFmtId="0" fontId="137" fillId="0" borderId="0" xfId="0" applyFont="1"/>
    <xf numFmtId="165" fontId="141" fillId="0" borderId="0" xfId="0" applyNumberFormat="1" applyFont="1" applyFill="1" applyBorder="1" applyAlignment="1" applyProtection="1">
      <alignment horizontal="center" vertical="center"/>
    </xf>
    <xf numFmtId="0" fontId="141" fillId="0" borderId="0" xfId="0" applyFont="1" applyFill="1" applyBorder="1" applyAlignment="1">
      <alignment vertical="center"/>
    </xf>
    <xf numFmtId="0" fontId="139" fillId="0" borderId="0" xfId="0" applyFont="1" applyFill="1" applyBorder="1" applyAlignment="1">
      <alignment vertical="center"/>
    </xf>
    <xf numFmtId="0" fontId="143" fillId="0" borderId="0" xfId="17" applyFont="1" applyProtection="1"/>
    <xf numFmtId="0" fontId="142" fillId="0" borderId="0" xfId="0" applyFont="1" applyAlignment="1">
      <alignment vertical="center" wrapText="1"/>
    </xf>
    <xf numFmtId="0" fontId="137" fillId="0" borderId="0" xfId="0" applyFont="1" applyFill="1" applyBorder="1"/>
    <xf numFmtId="0" fontId="136" fillId="0" borderId="0" xfId="0" applyFont="1" applyBorder="1"/>
    <xf numFmtId="164" fontId="138" fillId="0" borderId="0" xfId="0" applyNumberFormat="1" applyFont="1" applyFill="1" applyBorder="1" applyAlignment="1">
      <alignment horizontal="center"/>
    </xf>
    <xf numFmtId="0" fontId="136" fillId="0" borderId="0" xfId="0" applyFont="1" applyFill="1" applyBorder="1"/>
    <xf numFmtId="0" fontId="136" fillId="0" borderId="0" xfId="0" applyFont="1" applyFill="1" applyBorder="1" applyAlignment="1">
      <alignment vertical="center"/>
    </xf>
    <xf numFmtId="0" fontId="138" fillId="0" borderId="0" xfId="0" applyFont="1" applyFill="1" applyBorder="1" applyAlignment="1">
      <alignment vertical="top"/>
    </xf>
    <xf numFmtId="0" fontId="138" fillId="0" borderId="0" xfId="0" applyFont="1" applyFill="1" applyBorder="1"/>
    <xf numFmtId="0" fontId="144" fillId="0" borderId="81" xfId="0" applyFont="1" applyBorder="1" applyAlignment="1">
      <alignment horizontal="center" vertical="center" wrapText="1"/>
    </xf>
    <xf numFmtId="0" fontId="144" fillId="0" borderId="82" xfId="0" applyFont="1" applyBorder="1" applyAlignment="1">
      <alignment horizontal="center" vertical="center" wrapText="1"/>
    </xf>
    <xf numFmtId="0" fontId="144" fillId="0" borderId="83" xfId="0" applyFont="1" applyBorder="1" applyAlignment="1">
      <alignment horizontal="center" vertical="center" wrapText="1"/>
    </xf>
    <xf numFmtId="0" fontId="141" fillId="0" borderId="81" xfId="0" quotePrefix="1" applyNumberFormat="1" applyFont="1" applyFill="1" applyBorder="1" applyAlignment="1" applyProtection="1">
      <alignment horizontal="center" vertical="center"/>
      <protection locked="0"/>
    </xf>
    <xf numFmtId="0" fontId="141" fillId="0" borderId="82" xfId="0" quotePrefix="1" applyNumberFormat="1" applyFont="1" applyFill="1" applyBorder="1" applyAlignment="1" applyProtection="1">
      <alignment horizontal="center" vertical="center"/>
      <protection locked="0"/>
    </xf>
    <xf numFmtId="0" fontId="141" fillId="0" borderId="83" xfId="0" quotePrefix="1" applyNumberFormat="1" applyFont="1" applyFill="1" applyBorder="1" applyAlignment="1" applyProtection="1">
      <alignment horizontal="center" vertical="center"/>
      <protection locked="0"/>
    </xf>
    <xf numFmtId="1" fontId="141" fillId="16" borderId="83" xfId="0" applyNumberFormat="1" applyFont="1" applyFill="1" applyBorder="1" applyAlignment="1" applyProtection="1">
      <alignment horizontal="center" vertical="center"/>
      <protection locked="0"/>
    </xf>
    <xf numFmtId="1" fontId="141" fillId="16" borderId="81" xfId="0" applyNumberFormat="1" applyFont="1" applyFill="1" applyBorder="1" applyAlignment="1" applyProtection="1">
      <alignment horizontal="center" vertical="center"/>
      <protection locked="0"/>
    </xf>
    <xf numFmtId="16" fontId="141" fillId="22" borderId="84" xfId="0" quotePrefix="1" applyNumberFormat="1" applyFont="1" applyFill="1" applyBorder="1" applyAlignment="1" applyProtection="1">
      <alignment horizontal="center" vertical="center"/>
    </xf>
    <xf numFmtId="0" fontId="113" fillId="0" borderId="0" xfId="0" applyFont="1" applyFill="1" applyBorder="1" applyAlignment="1">
      <alignment vertical="top"/>
    </xf>
    <xf numFmtId="0" fontId="102" fillId="0" borderId="0" xfId="0" applyNumberFormat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Fill="1" applyBorder="1" applyAlignment="1">
      <alignment horizontal="center"/>
    </xf>
    <xf numFmtId="3" fontId="125" fillId="21" borderId="85" xfId="0" quotePrefix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quotePrefix="1" applyFont="1" applyFill="1" applyBorder="1" applyAlignment="1" applyProtection="1">
      <alignment horizontal="center"/>
    </xf>
    <xf numFmtId="169" fontId="118" fillId="0" borderId="0" xfId="0" applyNumberFormat="1" applyFont="1" applyFill="1" applyBorder="1" applyAlignment="1" applyProtection="1">
      <alignment horizontal="center" vertical="center"/>
      <protection hidden="1"/>
    </xf>
    <xf numFmtId="169" fontId="118" fillId="0" borderId="13" xfId="0" applyNumberFormat="1" applyFont="1" applyFill="1" applyBorder="1" applyAlignment="1" applyProtection="1">
      <alignment horizontal="center" vertical="center"/>
      <protection hidden="1"/>
    </xf>
    <xf numFmtId="4" fontId="145" fillId="14" borderId="0" xfId="0" applyNumberFormat="1" applyFont="1" applyFill="1" applyBorder="1" applyAlignment="1" applyProtection="1">
      <alignment vertical="center"/>
      <protection hidden="1"/>
    </xf>
    <xf numFmtId="0" fontId="146" fillId="0" borderId="0" xfId="0" applyFont="1" applyFill="1" applyBorder="1" applyAlignment="1">
      <alignment horizontal="left" vertical="center"/>
    </xf>
    <xf numFmtId="49" fontId="147" fillId="0" borderId="0" xfId="0" applyNumberFormat="1" applyFont="1" applyFill="1" applyBorder="1"/>
    <xf numFmtId="0" fontId="113" fillId="0" borderId="0" xfId="0" applyFont="1" applyFill="1" applyBorder="1" applyAlignment="1">
      <alignment horizontal="left" vertical="center" wrapText="1"/>
    </xf>
    <xf numFmtId="0" fontId="148" fillId="0" borderId="0" xfId="0" applyFont="1" applyBorder="1" applyAlignment="1">
      <alignment horizontal="right" vertical="center"/>
    </xf>
    <xf numFmtId="1" fontId="131" fillId="0" borderId="70" xfId="0" applyNumberFormat="1" applyFont="1" applyFill="1" applyBorder="1" applyAlignment="1" applyProtection="1">
      <alignment vertical="center"/>
      <protection hidden="1"/>
    </xf>
    <xf numFmtId="167" fontId="149" fillId="21" borderId="86" xfId="0" quotePrefix="1" applyNumberFormat="1" applyFont="1" applyFill="1" applyBorder="1" applyAlignment="1" applyProtection="1">
      <alignment horizontal="center" vertical="center"/>
    </xf>
    <xf numFmtId="0" fontId="150" fillId="0" borderId="0" xfId="0" applyFont="1" applyFill="1" applyBorder="1" applyAlignment="1">
      <alignment horizontal="left"/>
    </xf>
    <xf numFmtId="0" fontId="150" fillId="0" borderId="0" xfId="0" applyFont="1" applyAlignment="1">
      <alignment horizontal="left"/>
    </xf>
    <xf numFmtId="0" fontId="113" fillId="0" borderId="0" xfId="0" applyFont="1" applyFill="1" applyBorder="1" applyAlignment="1">
      <alignment horizontal="left" vertical="top" wrapText="1"/>
    </xf>
    <xf numFmtId="0" fontId="113" fillId="0" borderId="0" xfId="0" applyFont="1" applyFill="1" applyBorder="1" applyAlignment="1">
      <alignment horizontal="left" vertical="top" wrapText="1"/>
    </xf>
    <xf numFmtId="1" fontId="34" fillId="16" borderId="15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vertical="center"/>
    </xf>
    <xf numFmtId="0" fontId="151" fillId="0" borderId="0" xfId="0" applyFont="1" applyBorder="1"/>
    <xf numFmtId="0" fontId="151" fillId="13" borderId="0" xfId="0" applyFont="1" applyFill="1" applyBorder="1" applyAlignment="1" applyProtection="1">
      <alignment horizontal="right" vertical="center"/>
      <protection hidden="1"/>
    </xf>
    <xf numFmtId="0" fontId="151" fillId="0" borderId="0" xfId="0" applyFont="1" applyBorder="1" applyAlignment="1">
      <alignment horizontal="right"/>
    </xf>
    <xf numFmtId="0" fontId="113" fillId="0" borderId="0" xfId="0" applyFont="1" applyFill="1" applyBorder="1" applyAlignment="1">
      <alignment horizontal="left" vertical="center"/>
    </xf>
    <xf numFmtId="0" fontId="152" fillId="0" borderId="0" xfId="0" applyFont="1" applyFill="1" applyBorder="1" applyAlignment="1">
      <alignment horizontal="left" vertical="center"/>
    </xf>
    <xf numFmtId="2" fontId="153" fillId="0" borderId="66" xfId="0" applyNumberFormat="1" applyFont="1" applyFill="1" applyBorder="1" applyAlignment="1" applyProtection="1">
      <alignment horizontal="center" vertical="center"/>
      <protection hidden="1"/>
    </xf>
    <xf numFmtId="0" fontId="154" fillId="0" borderId="66" xfId="0" applyFont="1" applyFill="1" applyBorder="1" applyAlignment="1" applyProtection="1">
      <alignment horizontal="center" vertical="center"/>
    </xf>
    <xf numFmtId="2" fontId="72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55" fillId="0" borderId="66" xfId="0" applyFont="1" applyFill="1" applyBorder="1" applyAlignment="1" applyProtection="1">
      <alignment horizontal="center" vertical="center" wrapText="1"/>
    </xf>
    <xf numFmtId="2" fontId="155" fillId="0" borderId="0" xfId="0" applyNumberFormat="1" applyFont="1" applyFill="1" applyBorder="1" applyAlignment="1" applyProtection="1">
      <alignment horizontal="center" vertical="center"/>
      <protection hidden="1"/>
    </xf>
    <xf numFmtId="2" fontId="156" fillId="0" borderId="87" xfId="0" applyNumberFormat="1" applyFont="1" applyFill="1" applyBorder="1" applyAlignment="1" applyProtection="1">
      <alignment horizontal="left"/>
      <protection hidden="1"/>
    </xf>
    <xf numFmtId="2" fontId="156" fillId="0" borderId="88" xfId="0" applyNumberFormat="1" applyFont="1" applyFill="1" applyBorder="1" applyAlignment="1" applyProtection="1">
      <alignment horizontal="left"/>
      <protection hidden="1"/>
    </xf>
    <xf numFmtId="2" fontId="156" fillId="0" borderId="89" xfId="0" applyNumberFormat="1" applyFont="1" applyFill="1" applyBorder="1" applyAlignment="1" applyProtection="1">
      <alignment horizontal="left"/>
      <protection hidden="1"/>
    </xf>
    <xf numFmtId="2" fontId="156" fillId="0" borderId="66" xfId="0" applyNumberFormat="1" applyFont="1" applyFill="1" applyBorder="1" applyAlignment="1" applyProtection="1">
      <alignment horizontal="center" vertical="center"/>
      <protection hidden="1"/>
    </xf>
    <xf numFmtId="2" fontId="156" fillId="0" borderId="90" xfId="0" applyNumberFormat="1" applyFont="1" applyFill="1" applyBorder="1" applyAlignment="1" applyProtection="1">
      <alignment horizontal="left"/>
      <protection hidden="1"/>
    </xf>
    <xf numFmtId="2" fontId="155" fillId="0" borderId="90" xfId="0" applyNumberFormat="1" applyFont="1" applyFill="1" applyBorder="1" applyAlignment="1" applyProtection="1">
      <alignment horizontal="center" vertical="center"/>
      <protection locked="0"/>
    </xf>
    <xf numFmtId="0" fontId="157" fillId="0" borderId="0" xfId="0" applyFont="1" applyBorder="1" applyAlignment="1">
      <alignment vertical="top"/>
    </xf>
    <xf numFmtId="0" fontId="55" fillId="14" borderId="66" xfId="0" applyFont="1" applyFill="1" applyBorder="1" applyAlignment="1" applyProtection="1">
      <alignment horizontal="right" vertical="center"/>
    </xf>
    <xf numFmtId="0" fontId="158" fillId="16" borderId="0" xfId="0" applyFont="1" applyFill="1" applyBorder="1"/>
    <xf numFmtId="0" fontId="106" fillId="23" borderId="14" xfId="0" applyNumberFormat="1" applyFont="1" applyFill="1" applyBorder="1" applyAlignment="1">
      <alignment horizontal="center" vertical="center"/>
    </xf>
    <xf numFmtId="0" fontId="0" fillId="16" borderId="0" xfId="0" applyFill="1" applyBorder="1"/>
    <xf numFmtId="0" fontId="0" fillId="0" borderId="91" xfId="0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169" fontId="0" fillId="0" borderId="94" xfId="0" applyNumberFormat="1" applyFill="1" applyBorder="1"/>
    <xf numFmtId="0" fontId="159" fillId="0" borderId="0" xfId="0" applyFont="1" applyBorder="1" applyAlignment="1">
      <alignment vertical="center"/>
    </xf>
    <xf numFmtId="0" fontId="0" fillId="0" borderId="97" xfId="0" applyFill="1" applyBorder="1"/>
    <xf numFmtId="49" fontId="160" fillId="0" borderId="91" xfId="0" applyNumberFormat="1" applyFont="1" applyFill="1" applyBorder="1" applyAlignment="1" applyProtection="1">
      <alignment horizontal="center" vertical="top" wrapText="1"/>
    </xf>
    <xf numFmtId="0" fontId="113" fillId="0" borderId="91" xfId="0" applyFont="1" applyFill="1" applyBorder="1" applyAlignment="1">
      <alignment vertical="top" wrapText="1"/>
    </xf>
    <xf numFmtId="0" fontId="27" fillId="0" borderId="91" xfId="0" applyFont="1" applyBorder="1"/>
    <xf numFmtId="4" fontId="161" fillId="14" borderId="66" xfId="0" applyNumberFormat="1" applyFont="1" applyFill="1" applyBorder="1" applyAlignment="1" applyProtection="1">
      <alignment vertical="center"/>
      <protection hidden="1"/>
    </xf>
    <xf numFmtId="0" fontId="113" fillId="0" borderId="0" xfId="0" applyFont="1" applyFill="1" applyBorder="1" applyAlignment="1">
      <alignment vertical="center"/>
    </xf>
    <xf numFmtId="4" fontId="161" fillId="14" borderId="0" xfId="0" applyNumberFormat="1" applyFont="1" applyFill="1" applyBorder="1" applyAlignment="1" applyProtection="1">
      <alignment vertical="center"/>
      <protection hidden="1"/>
    </xf>
    <xf numFmtId="0" fontId="162" fillId="13" borderId="0" xfId="0" applyFont="1" applyFill="1" applyBorder="1" applyAlignment="1" applyProtection="1">
      <alignment horizontal="left" vertical="center"/>
      <protection hidden="1"/>
    </xf>
    <xf numFmtId="167" fontId="116" fillId="21" borderId="85" xfId="0" quotePrefix="1" applyNumberFormat="1" applyFont="1" applyFill="1" applyBorder="1" applyAlignment="1" applyProtection="1">
      <alignment horizontal="center" vertical="center"/>
    </xf>
    <xf numFmtId="49" fontId="163" fillId="0" borderId="0" xfId="0" applyNumberFormat="1" applyFont="1" applyFill="1" applyBorder="1" applyAlignment="1" applyProtection="1">
      <alignment horizontal="center" vertical="top" wrapText="1"/>
    </xf>
    <xf numFmtId="0" fontId="106" fillId="23" borderId="15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 applyProtection="1">
      <alignment vertical="center"/>
    </xf>
    <xf numFmtId="0" fontId="55" fillId="0" borderId="66" xfId="0" applyFont="1" applyFill="1" applyBorder="1" applyAlignment="1" applyProtection="1">
      <alignment horizontal="right" vertical="center" wrapText="1"/>
    </xf>
    <xf numFmtId="0" fontId="164" fillId="0" borderId="0" xfId="0" applyFont="1" applyBorder="1"/>
    <xf numFmtId="0" fontId="164" fillId="0" borderId="0" xfId="0" applyFont="1" applyBorder="1" applyAlignment="1">
      <alignment horizontal="left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0" xfId="0" applyFont="1" applyFill="1" applyBorder="1" applyAlignment="1" applyProtection="1">
      <alignment horizontal="center" vertical="center"/>
    </xf>
    <xf numFmtId="17" fontId="27" fillId="0" borderId="15" xfId="0" quotePrefix="1" applyNumberFormat="1" applyFont="1" applyFill="1" applyBorder="1" applyAlignment="1" applyProtection="1">
      <alignment horizontal="center" vertical="center"/>
    </xf>
    <xf numFmtId="167" fontId="118" fillId="21" borderId="85" xfId="0" quotePrefix="1" applyNumberFormat="1" applyFont="1" applyFill="1" applyBorder="1" applyAlignment="1" applyProtection="1">
      <alignment horizontal="center" vertical="center"/>
    </xf>
    <xf numFmtId="0" fontId="27" fillId="0" borderId="10" xfId="0" applyFont="1" applyFill="1" applyBorder="1" applyAlignment="1" applyProtection="1">
      <alignment vertical="center" wrapText="1"/>
    </xf>
    <xf numFmtId="0" fontId="27" fillId="0" borderId="15" xfId="0" quotePrefix="1" applyFont="1" applyFill="1" applyBorder="1" applyAlignment="1" applyProtection="1">
      <alignment horizontal="center" vertical="center"/>
    </xf>
    <xf numFmtId="16" fontId="27" fillId="0" borderId="15" xfId="0" quotePrefix="1" applyNumberFormat="1" applyFont="1" applyFill="1" applyBorder="1" applyAlignment="1" applyProtection="1">
      <alignment horizontal="center" vertical="center"/>
    </xf>
    <xf numFmtId="0" fontId="27" fillId="16" borderId="10" xfId="0" applyFont="1" applyFill="1" applyBorder="1" applyAlignment="1" applyProtection="1">
      <alignment horizontal="center" vertical="center"/>
    </xf>
    <xf numFmtId="0" fontId="108" fillId="24" borderId="0" xfId="0" applyFont="1" applyFill="1" applyBorder="1" applyAlignment="1" applyProtection="1">
      <alignment vertical="center"/>
    </xf>
    <xf numFmtId="0" fontId="103" fillId="24" borderId="0" xfId="0" applyNumberFormat="1" applyFont="1" applyFill="1" applyBorder="1" applyAlignment="1" applyProtection="1">
      <alignment horizontal="left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>
      <alignment horizontal="center"/>
    </xf>
    <xf numFmtId="0" fontId="29" fillId="24" borderId="0" xfId="0" applyFont="1" applyFill="1" applyBorder="1" applyAlignment="1">
      <alignment horizontal="left" textRotation="90" wrapText="1"/>
    </xf>
    <xf numFmtId="0" fontId="165" fillId="0" borderId="0" xfId="0" applyFont="1" applyFill="1" applyBorder="1" applyAlignment="1" applyProtection="1"/>
    <xf numFmtId="0" fontId="166" fillId="0" borderId="0" xfId="0" applyFont="1" applyFill="1" applyBorder="1" applyAlignment="1" applyProtection="1"/>
    <xf numFmtId="4" fontId="28" fillId="14" borderId="0" xfId="0" applyNumberFormat="1" applyFont="1" applyFill="1" applyBorder="1" applyAlignment="1" applyProtection="1">
      <alignment vertical="center"/>
      <protection hidden="1"/>
    </xf>
    <xf numFmtId="4" fontId="163" fillId="14" borderId="0" xfId="0" applyNumberFormat="1" applyFont="1" applyFill="1" applyBorder="1" applyAlignment="1" applyProtection="1">
      <alignment vertical="center"/>
      <protection hidden="1"/>
    </xf>
    <xf numFmtId="4" fontId="28" fillId="0" borderId="0" xfId="0" applyNumberFormat="1" applyFont="1" applyBorder="1" applyAlignment="1" applyProtection="1">
      <protection locked="0"/>
    </xf>
    <xf numFmtId="4" fontId="28" fillId="14" borderId="0" xfId="0" applyNumberFormat="1" applyFont="1" applyFill="1" applyBorder="1" applyAlignment="1" applyProtection="1"/>
    <xf numFmtId="49" fontId="163" fillId="0" borderId="0" xfId="0" applyNumberFormat="1" applyFont="1" applyFill="1" applyBorder="1" applyAlignment="1" applyProtection="1">
      <alignment horizontal="center" wrapText="1"/>
    </xf>
    <xf numFmtId="0" fontId="26" fillId="0" borderId="98" xfId="0" applyFont="1" applyFill="1" applyBorder="1" applyAlignment="1">
      <alignment horizontal="right"/>
    </xf>
    <xf numFmtId="0" fontId="26" fillId="0" borderId="99" xfId="0" applyFont="1" applyFill="1" applyBorder="1" applyAlignment="1">
      <alignment horizontal="right"/>
    </xf>
    <xf numFmtId="0" fontId="26" fillId="0" borderId="99" xfId="0" applyFont="1" applyFill="1" applyBorder="1" applyProtection="1"/>
    <xf numFmtId="4" fontId="31" fillId="0" borderId="100" xfId="0" applyNumberFormat="1" applyFont="1" applyFill="1" applyBorder="1" applyAlignment="1" applyProtection="1"/>
    <xf numFmtId="9" fontId="37" fillId="14" borderId="101" xfId="0" applyNumberFormat="1" applyFont="1" applyFill="1" applyBorder="1" applyAlignment="1" applyProtection="1">
      <protection locked="0"/>
    </xf>
    <xf numFmtId="0" fontId="26" fillId="0" borderId="102" xfId="0" applyFont="1" applyFill="1" applyBorder="1" applyProtection="1">
      <protection locked="0"/>
    </xf>
    <xf numFmtId="4" fontId="31" fillId="0" borderId="101" xfId="0" applyNumberFormat="1" applyFont="1" applyBorder="1" applyAlignment="1" applyProtection="1">
      <protection locked="0"/>
    </xf>
    <xf numFmtId="4" fontId="31" fillId="14" borderId="101" xfId="0" applyNumberFormat="1" applyFont="1" applyFill="1" applyBorder="1" applyAlignment="1" applyProtection="1"/>
    <xf numFmtId="4" fontId="31" fillId="14" borderId="103" xfId="0" applyNumberFormat="1" applyFont="1" applyFill="1" applyBorder="1" applyAlignment="1" applyProtection="1"/>
    <xf numFmtId="1" fontId="35" fillId="0" borderId="104" xfId="0" applyNumberFormat="1" applyFont="1" applyFill="1" applyBorder="1" applyAlignment="1" applyProtection="1">
      <alignment horizontal="right"/>
      <protection locked="0"/>
    </xf>
    <xf numFmtId="0" fontId="26" fillId="0" borderId="105" xfId="0" applyFont="1" applyFill="1" applyBorder="1" applyProtection="1">
      <protection locked="0"/>
    </xf>
    <xf numFmtId="3" fontId="125" fillId="21" borderId="106" xfId="0" quotePrefix="1" applyNumberFormat="1" applyFont="1" applyFill="1" applyBorder="1" applyAlignment="1" applyProtection="1">
      <alignment horizontal="center" vertical="center"/>
    </xf>
    <xf numFmtId="4" fontId="31" fillId="14" borderId="104" xfId="0" applyNumberFormat="1" applyFont="1" applyFill="1" applyBorder="1" applyAlignment="1" applyProtection="1">
      <alignment vertical="center"/>
    </xf>
    <xf numFmtId="4" fontId="31" fillId="14" borderId="104" xfId="0" applyNumberFormat="1" applyFont="1" applyFill="1" applyBorder="1" applyAlignment="1" applyProtection="1">
      <alignment horizontal="right" vertical="center"/>
      <protection locked="0"/>
    </xf>
    <xf numFmtId="0" fontId="26" fillId="0" borderId="104" xfId="0" applyFont="1" applyFill="1" applyBorder="1" applyAlignment="1" applyProtection="1">
      <alignment vertical="center"/>
      <protection locked="0"/>
    </xf>
    <xf numFmtId="4" fontId="28" fillId="14" borderId="66" xfId="0" applyNumberFormat="1" applyFont="1" applyFill="1" applyBorder="1" applyAlignment="1" applyProtection="1">
      <alignment vertical="center"/>
      <protection hidden="1"/>
    </xf>
    <xf numFmtId="4" fontId="163" fillId="14" borderId="66" xfId="0" applyNumberFormat="1" applyFont="1" applyFill="1" applyBorder="1" applyAlignment="1" applyProtection="1">
      <alignment vertical="center"/>
      <protection hidden="1"/>
    </xf>
    <xf numFmtId="0" fontId="54" fillId="14" borderId="66" xfId="0" applyFont="1" applyFill="1" applyBorder="1" applyAlignment="1" applyProtection="1">
      <alignment horizontal="right" vertical="center"/>
    </xf>
    <xf numFmtId="0" fontId="167" fillId="0" borderId="81" xfId="0" applyNumberFormat="1" applyFont="1" applyFill="1" applyBorder="1" applyAlignment="1" applyProtection="1">
      <alignment horizontal="center" vertical="center"/>
    </xf>
    <xf numFmtId="0" fontId="168" fillId="0" borderId="81" xfId="0" applyNumberFormat="1" applyFont="1" applyFill="1" applyBorder="1" applyAlignment="1" applyProtection="1">
      <alignment horizontal="center" vertical="center"/>
    </xf>
    <xf numFmtId="0" fontId="169" fillId="0" borderId="0" xfId="0" applyFont="1" applyBorder="1"/>
    <xf numFmtId="0" fontId="170" fillId="0" borderId="0" xfId="0" applyFont="1" applyFill="1" applyBorder="1" applyAlignment="1">
      <alignment horizontal="center" vertical="center" textRotation="90" wrapText="1"/>
    </xf>
    <xf numFmtId="0" fontId="169" fillId="0" borderId="0" xfId="0" applyFont="1" applyFill="1" applyBorder="1"/>
    <xf numFmtId="0" fontId="169" fillId="0" borderId="0" xfId="0" applyFont="1" applyFill="1" applyBorder="1" applyAlignment="1"/>
    <xf numFmtId="0" fontId="167" fillId="0" borderId="0" xfId="0" applyNumberFormat="1" applyFont="1" applyFill="1" applyBorder="1" applyAlignment="1" applyProtection="1">
      <alignment horizontal="right" vertical="center"/>
    </xf>
    <xf numFmtId="1" fontId="167" fillId="0" borderId="0" xfId="0" applyNumberFormat="1" applyFont="1" applyFill="1" applyBorder="1" applyAlignment="1" applyProtection="1">
      <alignment horizontal="center" vertical="center"/>
    </xf>
    <xf numFmtId="0" fontId="168" fillId="0" borderId="0" xfId="0" applyFont="1" applyFill="1" applyBorder="1" applyAlignment="1">
      <alignment horizontal="left" textRotation="90" wrapText="1"/>
    </xf>
    <xf numFmtId="2" fontId="168" fillId="0" borderId="0" xfId="0" applyNumberFormat="1" applyFont="1" applyFill="1" applyBorder="1" applyAlignment="1" applyProtection="1"/>
    <xf numFmtId="0" fontId="167" fillId="0" borderId="0" xfId="0" applyFont="1" applyFill="1" applyBorder="1"/>
    <xf numFmtId="0" fontId="167" fillId="0" borderId="0" xfId="0" applyNumberFormat="1" applyFont="1" applyFill="1" applyBorder="1" applyAlignment="1" applyProtection="1">
      <alignment horizontal="center" vertical="center"/>
    </xf>
    <xf numFmtId="0" fontId="171" fillId="0" borderId="0" xfId="0" applyFont="1"/>
    <xf numFmtId="0" fontId="167" fillId="0" borderId="0" xfId="0" applyFont="1" applyFill="1" applyBorder="1" applyAlignment="1">
      <alignment vertical="center"/>
    </xf>
    <xf numFmtId="0" fontId="172" fillId="0" borderId="0" xfId="0" applyFont="1" applyFill="1" applyBorder="1"/>
    <xf numFmtId="0" fontId="171" fillId="0" borderId="0" xfId="0" applyFont="1" applyFill="1" applyBorder="1"/>
    <xf numFmtId="0" fontId="172" fillId="0" borderId="0" xfId="0" applyFont="1"/>
    <xf numFmtId="0" fontId="173" fillId="0" borderId="0" xfId="17" applyFont="1" applyProtection="1">
      <protection hidden="1"/>
    </xf>
    <xf numFmtId="0" fontId="174" fillId="0" borderId="0" xfId="17" applyFont="1" applyProtection="1"/>
    <xf numFmtId="0" fontId="168" fillId="0" borderId="0" xfId="0" applyFont="1" applyAlignment="1">
      <alignment vertical="center" wrapText="1"/>
    </xf>
    <xf numFmtId="165" fontId="175" fillId="0" borderId="81" xfId="0" applyNumberFormat="1" applyFont="1" applyFill="1" applyBorder="1" applyAlignment="1" applyProtection="1">
      <alignment horizontal="right" vertical="center"/>
    </xf>
    <xf numFmtId="165" fontId="175" fillId="0" borderId="107" xfId="0" applyNumberFormat="1" applyFont="1" applyFill="1" applyBorder="1" applyAlignment="1" applyProtection="1">
      <alignment horizontal="right" vertical="center"/>
    </xf>
    <xf numFmtId="166" fontId="175" fillId="0" borderId="108" xfId="0" applyNumberFormat="1" applyFont="1" applyFill="1" applyBorder="1" applyAlignment="1" applyProtection="1">
      <alignment horizontal="center" vertical="center" wrapText="1"/>
    </xf>
    <xf numFmtId="166" fontId="175" fillId="0" borderId="8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2" fontId="123" fillId="0" borderId="78" xfId="0" applyNumberFormat="1" applyFont="1" applyFill="1" applyBorder="1" applyAlignment="1" applyProtection="1">
      <alignment vertical="top" wrapText="1"/>
    </xf>
    <xf numFmtId="2" fontId="123" fillId="0" borderId="0" xfId="0" applyNumberFormat="1" applyFont="1" applyFill="1" applyBorder="1" applyAlignment="1" applyProtection="1">
      <alignment vertical="top" wrapText="1"/>
    </xf>
    <xf numFmtId="0" fontId="137" fillId="0" borderId="78" xfId="0" applyFont="1" applyFill="1" applyBorder="1"/>
    <xf numFmtId="0" fontId="176" fillId="0" borderId="0" xfId="16" applyFont="1" applyAlignment="1">
      <alignment horizontal="left" vertical="top"/>
    </xf>
    <xf numFmtId="167" fontId="177" fillId="21" borderId="86" xfId="0" quotePrefix="1" applyNumberFormat="1" applyFont="1" applyFill="1" applyBorder="1" applyAlignment="1" applyProtection="1">
      <alignment horizontal="center" vertical="center"/>
    </xf>
    <xf numFmtId="0" fontId="178" fillId="0" borderId="81" xfId="0" applyFont="1" applyFill="1" applyBorder="1" applyAlignment="1">
      <alignment horizontal="center" vertical="center" wrapText="1"/>
    </xf>
    <xf numFmtId="14" fontId="126" fillId="0" borderId="0" xfId="0" applyNumberFormat="1" applyFont="1" applyBorder="1" applyAlignment="1" applyProtection="1">
      <alignment vertical="center"/>
      <protection hidden="1"/>
    </xf>
    <xf numFmtId="0" fontId="127" fillId="17" borderId="0" xfId="0" applyFont="1" applyFill="1" applyBorder="1" applyAlignment="1" applyProtection="1">
      <alignment horizontal="right" vertical="center"/>
    </xf>
    <xf numFmtId="167" fontId="179" fillId="25" borderId="10" xfId="0" quotePrefix="1" applyNumberFormat="1" applyFont="1" applyFill="1" applyBorder="1" applyAlignment="1" applyProtection="1">
      <alignment horizontal="right" vertical="center"/>
    </xf>
    <xf numFmtId="0" fontId="129" fillId="0" borderId="0" xfId="0" applyFont="1" applyFill="1" applyAlignment="1" applyProtection="1">
      <alignment horizontal="center" vertical="center"/>
      <protection hidden="1"/>
    </xf>
    <xf numFmtId="0" fontId="27" fillId="0" borderId="0" xfId="0" applyFont="1" applyFill="1" applyAlignment="1" applyProtection="1">
      <alignment horizontal="center" vertical="center"/>
      <protection hidden="1"/>
    </xf>
    <xf numFmtId="0" fontId="27" fillId="0" borderId="10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 applyProtection="1">
      <alignment horizontal="center"/>
      <protection hidden="1"/>
    </xf>
    <xf numFmtId="49" fontId="103" fillId="0" borderId="0" xfId="0" applyNumberFormat="1" applyFont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/>
      <protection hidden="1"/>
    </xf>
    <xf numFmtId="49" fontId="38" fillId="13" borderId="0" xfId="17" applyNumberFormat="1" applyFont="1" applyFill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9" fontId="37" fillId="14" borderId="103" xfId="0" applyNumberFormat="1" applyFont="1" applyFill="1" applyBorder="1" applyAlignment="1" applyProtection="1">
      <protection locked="0"/>
    </xf>
    <xf numFmtId="0" fontId="26" fillId="0" borderId="100" xfId="0" applyFont="1" applyFill="1" applyBorder="1" applyAlignment="1">
      <alignment horizontal="right"/>
    </xf>
    <xf numFmtId="0" fontId="116" fillId="0" borderId="99" xfId="0" applyFont="1" applyFill="1" applyBorder="1" applyAlignment="1" applyProtection="1">
      <alignment vertical="top"/>
    </xf>
    <xf numFmtId="0" fontId="116" fillId="0" borderId="0" xfId="0" applyFont="1" applyFill="1" applyBorder="1" applyAlignment="1" applyProtection="1">
      <alignment vertical="top"/>
    </xf>
    <xf numFmtId="0" fontId="27" fillId="0" borderId="0" xfId="0" applyFont="1" applyFill="1" applyAlignment="1" applyProtection="1">
      <alignment horizontal="left" vertical="center"/>
      <protection hidden="1"/>
    </xf>
    <xf numFmtId="0" fontId="180" fillId="0" borderId="0" xfId="0" applyFont="1" applyFill="1" applyBorder="1" applyAlignment="1">
      <alignment horizontal="center" vertical="top" wrapText="1"/>
    </xf>
    <xf numFmtId="0" fontId="148" fillId="0" borderId="11" xfId="0" applyFont="1" applyFill="1" applyBorder="1" applyAlignment="1">
      <alignment vertical="top" wrapText="1"/>
    </xf>
    <xf numFmtId="0" fontId="148" fillId="0" borderId="0" xfId="0" applyFont="1" applyFill="1" applyBorder="1" applyAlignment="1">
      <alignment vertical="top" wrapText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28" fillId="16" borderId="25" xfId="0" applyFont="1" applyFill="1" applyBorder="1" applyAlignment="1">
      <alignment horizontal="center" textRotation="90" wrapText="1"/>
    </xf>
    <xf numFmtId="0" fontId="23" fillId="0" borderId="70" xfId="0" applyNumberFormat="1" applyFont="1" applyBorder="1" applyAlignment="1"/>
    <xf numFmtId="166" fontId="111" fillId="0" borderId="16" xfId="0" applyNumberFormat="1" applyFont="1" applyFill="1" applyBorder="1" applyAlignment="1" applyProtection="1">
      <alignment horizontal="center" vertical="center"/>
      <protection locked="0"/>
    </xf>
    <xf numFmtId="166" fontId="111" fillId="0" borderId="23" xfId="0" applyNumberFormat="1" applyFont="1" applyFill="1" applyBorder="1" applyAlignment="1" applyProtection="1">
      <alignment horizontal="center" vertical="center"/>
      <protection locked="0"/>
    </xf>
    <xf numFmtId="166" fontId="111" fillId="0" borderId="10" xfId="0" applyNumberFormat="1" applyFont="1" applyFill="1" applyBorder="1" applyAlignment="1" applyProtection="1">
      <alignment horizontal="center" vertical="center"/>
      <protection locked="0"/>
    </xf>
    <xf numFmtId="166" fontId="111" fillId="0" borderId="15" xfId="0" applyNumberFormat="1" applyFont="1" applyFill="1" applyBorder="1" applyAlignment="1" applyProtection="1">
      <alignment horizontal="center" vertical="center"/>
      <protection locked="0"/>
    </xf>
    <xf numFmtId="0" fontId="111" fillId="0" borderId="16" xfId="0" quotePrefix="1" applyNumberFormat="1" applyFont="1" applyFill="1" applyBorder="1" applyAlignment="1" applyProtection="1">
      <alignment horizontal="center" vertical="center"/>
      <protection locked="0"/>
    </xf>
    <xf numFmtId="0" fontId="111" fillId="0" borderId="15" xfId="0" quotePrefix="1" applyNumberFormat="1" applyFont="1" applyFill="1" applyBorder="1" applyAlignment="1" applyProtection="1">
      <alignment horizontal="center" vertical="center"/>
      <protection locked="0"/>
    </xf>
    <xf numFmtId="0" fontId="111" fillId="0" borderId="14" xfId="0" quotePrefix="1" applyNumberFormat="1" applyFont="1" applyFill="1" applyBorder="1" applyAlignment="1" applyProtection="1">
      <alignment horizontal="center" vertical="center"/>
      <protection locked="0"/>
    </xf>
    <xf numFmtId="1" fontId="111" fillId="16" borderId="16" xfId="0" applyNumberFormat="1" applyFont="1" applyFill="1" applyBorder="1" applyAlignment="1" applyProtection="1">
      <alignment horizontal="center" vertical="center"/>
      <protection locked="0"/>
    </xf>
    <xf numFmtId="1" fontId="111" fillId="16" borderId="15" xfId="0" applyNumberFormat="1" applyFont="1" applyFill="1" applyBorder="1" applyAlignment="1" applyProtection="1">
      <alignment horizontal="center" vertical="center"/>
      <protection locked="0"/>
    </xf>
    <xf numFmtId="0" fontId="106" fillId="0" borderId="28" xfId="0" quotePrefix="1" applyNumberFormat="1" applyFont="1" applyFill="1" applyBorder="1" applyAlignment="1" applyProtection="1">
      <alignment horizontal="center" vertical="center"/>
      <protection locked="0"/>
    </xf>
    <xf numFmtId="0" fontId="106" fillId="23" borderId="28" xfId="0" applyNumberFormat="1" applyFont="1" applyFill="1" applyBorder="1" applyAlignment="1">
      <alignment horizontal="center" vertical="center"/>
    </xf>
    <xf numFmtId="0" fontId="106" fillId="26" borderId="29" xfId="0" applyNumberFormat="1" applyFont="1" applyFill="1" applyBorder="1" applyAlignment="1">
      <alignment horizontal="center" vertical="center"/>
    </xf>
    <xf numFmtId="0" fontId="106" fillId="26" borderId="14" xfId="0" applyNumberFormat="1" applyFont="1" applyFill="1" applyBorder="1" applyAlignment="1" applyProtection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106" fillId="23" borderId="30" xfId="0" applyNumberFormat="1" applyFont="1" applyFill="1" applyBorder="1" applyAlignment="1">
      <alignment horizontal="center" vertical="center"/>
    </xf>
    <xf numFmtId="0" fontId="106" fillId="26" borderId="28" xfId="0" applyNumberFormat="1" applyFont="1" applyFill="1" applyBorder="1" applyAlignment="1">
      <alignment horizontal="center" vertical="center"/>
    </xf>
    <xf numFmtId="0" fontId="106" fillId="0" borderId="30" xfId="0" quotePrefix="1" applyNumberFormat="1" applyFont="1" applyFill="1" applyBorder="1" applyAlignment="1" applyProtection="1">
      <alignment horizontal="center" vertical="center"/>
      <protection locked="0"/>
    </xf>
    <xf numFmtId="2" fontId="52" fillId="0" borderId="0" xfId="0" applyNumberFormat="1" applyFont="1" applyAlignment="1">
      <alignment horizontal="center"/>
    </xf>
    <xf numFmtId="0" fontId="27" fillId="0" borderId="57" xfId="0" applyFont="1" applyBorder="1"/>
    <xf numFmtId="0" fontId="27" fillId="0" borderId="0" xfId="0" applyFont="1" applyFill="1" applyBorder="1" applyAlignment="1">
      <alignment vertical="center"/>
    </xf>
    <xf numFmtId="0" fontId="181" fillId="0" borderId="0" xfId="0" applyNumberFormat="1" applyFont="1" applyFill="1" applyAlignment="1" applyProtection="1"/>
    <xf numFmtId="2" fontId="182" fillId="17" borderId="70" xfId="0" applyNumberFormat="1" applyFont="1" applyFill="1" applyBorder="1" applyAlignment="1" applyProtection="1">
      <alignment horizontal="left" vertical="center"/>
      <protection hidden="1"/>
    </xf>
    <xf numFmtId="2" fontId="131" fillId="27" borderId="70" xfId="0" applyNumberFormat="1" applyFont="1" applyFill="1" applyBorder="1" applyAlignment="1" applyProtection="1">
      <alignment horizontal="left" vertical="center"/>
      <protection hidden="1"/>
    </xf>
    <xf numFmtId="2" fontId="26" fillId="27" borderId="70" xfId="0" applyNumberFormat="1" applyFont="1" applyFill="1" applyBorder="1" applyAlignment="1" applyProtection="1">
      <alignment horizontal="left" vertical="center"/>
      <protection hidden="1"/>
    </xf>
    <xf numFmtId="2" fontId="131" fillId="25" borderId="70" xfId="0" applyNumberFormat="1" applyFont="1" applyFill="1" applyBorder="1" applyAlignment="1" applyProtection="1">
      <alignment horizontal="left" vertical="center"/>
      <protection hidden="1"/>
    </xf>
    <xf numFmtId="0" fontId="183" fillId="0" borderId="0" xfId="0" applyFont="1" applyFill="1" applyBorder="1" applyAlignment="1">
      <alignment horizontal="center" wrapText="1"/>
    </xf>
    <xf numFmtId="0" fontId="28" fillId="16" borderId="25" xfId="0" applyFont="1" applyFill="1" applyBorder="1" applyAlignment="1">
      <alignment horizontal="center" textRotation="90" wrapText="1"/>
    </xf>
    <xf numFmtId="0" fontId="31" fillId="16" borderId="25" xfId="0" applyFont="1" applyFill="1" applyBorder="1" applyAlignment="1">
      <alignment horizontal="center" textRotation="90" wrapText="1"/>
    </xf>
    <xf numFmtId="0" fontId="28" fillId="0" borderId="0" xfId="0" applyFont="1" applyFill="1" applyBorder="1"/>
    <xf numFmtId="166" fontId="129" fillId="17" borderId="70" xfId="0" applyNumberFormat="1" applyFont="1" applyFill="1" applyBorder="1" applyAlignment="1" applyProtection="1">
      <alignment vertical="center"/>
      <protection hidden="1"/>
    </xf>
    <xf numFmtId="0" fontId="1" fillId="0" borderId="0" xfId="0" applyNumberFormat="1" applyFont="1" applyFill="1" applyBorder="1" applyAlignment="1">
      <alignment vertical="center"/>
    </xf>
    <xf numFmtId="0" fontId="1" fillId="0" borderId="0" xfId="19" applyNumberFormat="1" applyFont="1" applyFill="1" applyBorder="1" applyAlignment="1">
      <alignment vertical="center"/>
    </xf>
    <xf numFmtId="0" fontId="184" fillId="0" borderId="0" xfId="0" applyNumberFormat="1" applyFont="1" applyFill="1" applyBorder="1" applyAlignment="1">
      <alignment vertical="center" textRotation="90" wrapText="1"/>
    </xf>
    <xf numFmtId="0" fontId="60" fillId="0" borderId="0" xfId="0" applyNumberFormat="1" applyFont="1" applyFill="1" applyBorder="1" applyAlignment="1">
      <alignment vertical="center" wrapText="1"/>
    </xf>
    <xf numFmtId="0" fontId="61" fillId="0" borderId="0" xfId="0" applyNumberFormat="1" applyFont="1" applyFill="1" applyBorder="1" applyAlignment="1" applyProtection="1">
      <alignment vertical="center"/>
    </xf>
    <xf numFmtId="0" fontId="58" fillId="0" borderId="0" xfId="0" applyNumberFormat="1" applyFont="1" applyAlignment="1">
      <alignment vertical="center"/>
    </xf>
    <xf numFmtId="4" fontId="27" fillId="14" borderId="66" xfId="0" applyNumberFormat="1" applyFont="1" applyFill="1" applyBorder="1" applyAlignment="1" applyProtection="1">
      <alignment vertical="center"/>
      <protection hidden="1"/>
    </xf>
    <xf numFmtId="0" fontId="58" fillId="0" borderId="0" xfId="0" applyFont="1" applyAlignment="1"/>
    <xf numFmtId="0" fontId="58" fillId="0" borderId="0" xfId="0" applyFont="1"/>
    <xf numFmtId="0" fontId="54" fillId="0" borderId="0" xfId="0" applyFont="1" applyAlignment="1">
      <alignment horizontal="center"/>
    </xf>
    <xf numFmtId="0" fontId="106" fillId="0" borderId="31" xfId="0" quotePrefix="1" applyNumberFormat="1" applyFont="1" applyFill="1" applyBorder="1" applyAlignment="1" applyProtection="1">
      <alignment horizontal="center" vertical="center"/>
      <protection locked="0"/>
    </xf>
    <xf numFmtId="1" fontId="34" fillId="16" borderId="31" xfId="0" applyNumberFormat="1" applyFont="1" applyFill="1" applyBorder="1" applyAlignment="1" applyProtection="1">
      <alignment horizontal="center" vertical="center"/>
      <protection locked="0"/>
    </xf>
    <xf numFmtId="0" fontId="141" fillId="0" borderId="78" xfId="0" applyNumberFormat="1" applyFont="1" applyFill="1" applyBorder="1" applyAlignment="1">
      <alignment horizontal="center"/>
    </xf>
    <xf numFmtId="164" fontId="141" fillId="0" borderId="79" xfId="0" applyNumberFormat="1" applyFont="1" applyFill="1" applyBorder="1" applyAlignment="1"/>
    <xf numFmtId="165" fontId="141" fillId="0" borderId="78" xfId="0" applyNumberFormat="1" applyFont="1" applyFill="1" applyBorder="1" applyAlignment="1" applyProtection="1">
      <alignment horizontal="right" vertical="center"/>
    </xf>
    <xf numFmtId="165" fontId="141" fillId="0" borderId="0" xfId="0" applyNumberFormat="1" applyFont="1" applyFill="1" applyBorder="1" applyAlignment="1" applyProtection="1">
      <alignment horizontal="right" vertical="center"/>
    </xf>
    <xf numFmtId="165" fontId="175" fillId="0" borderId="80" xfId="0" applyNumberFormat="1" applyFont="1" applyFill="1" applyBorder="1" applyAlignment="1" applyProtection="1">
      <alignment horizontal="right"/>
    </xf>
    <xf numFmtId="169" fontId="118" fillId="0" borderId="11" xfId="0" applyNumberFormat="1" applyFont="1" applyFill="1" applyBorder="1" applyAlignment="1" applyProtection="1">
      <alignment horizontal="center" vertical="center"/>
      <protection hidden="1"/>
    </xf>
    <xf numFmtId="49" fontId="118" fillId="0" borderId="0" xfId="0" applyNumberFormat="1" applyFont="1" applyFill="1" applyBorder="1" applyAlignment="1">
      <alignment horizontal="center" vertical="center"/>
    </xf>
    <xf numFmtId="0" fontId="117" fillId="0" borderId="17" xfId="0" applyFont="1" applyFill="1" applyBorder="1" applyAlignment="1">
      <alignment horizontal="center" vertical="center" wrapText="1"/>
    </xf>
    <xf numFmtId="169" fontId="116" fillId="0" borderId="11" xfId="0" applyNumberFormat="1" applyFont="1" applyFill="1" applyBorder="1" applyAlignment="1" applyProtection="1">
      <alignment horizontal="center" vertical="center" wrapText="1"/>
      <protection hidden="1"/>
    </xf>
    <xf numFmtId="169" fontId="117" fillId="0" borderId="11" xfId="0" applyNumberFormat="1" applyFont="1" applyFill="1" applyBorder="1" applyAlignment="1" applyProtection="1">
      <alignment horizontal="center" vertical="center" wrapText="1"/>
      <protection hidden="1"/>
    </xf>
    <xf numFmtId="49" fontId="27" fillId="0" borderId="11" xfId="0" applyNumberFormat="1" applyFont="1" applyFill="1" applyBorder="1"/>
    <xf numFmtId="0" fontId="104" fillId="0" borderId="11" xfId="0" applyFont="1" applyFill="1" applyBorder="1" applyAlignment="1" applyProtection="1">
      <alignment vertical="top" wrapText="1"/>
    </xf>
    <xf numFmtId="0" fontId="105" fillId="0" borderId="11" xfId="0" applyFont="1" applyFill="1" applyBorder="1" applyAlignment="1">
      <alignment vertical="center" wrapText="1"/>
    </xf>
    <xf numFmtId="49" fontId="27" fillId="0" borderId="17" xfId="0" applyNumberFormat="1" applyFont="1" applyFill="1" applyBorder="1"/>
    <xf numFmtId="0" fontId="104" fillId="0" borderId="17" xfId="0" applyFont="1" applyFill="1" applyBorder="1" applyAlignment="1" applyProtection="1">
      <alignment vertical="top" wrapText="1"/>
    </xf>
    <xf numFmtId="0" fontId="105" fillId="0" borderId="17" xfId="0" applyFont="1" applyFill="1" applyBorder="1" applyAlignment="1">
      <alignment vertical="center" wrapText="1"/>
    </xf>
    <xf numFmtId="167" fontId="125" fillId="21" borderId="106" xfId="0" quotePrefix="1" applyNumberFormat="1" applyFont="1" applyFill="1" applyBorder="1" applyAlignment="1" applyProtection="1">
      <alignment horizontal="center" vertical="center"/>
    </xf>
    <xf numFmtId="0" fontId="27" fillId="0" borderId="109" xfId="0" applyFont="1" applyFill="1" applyBorder="1"/>
    <xf numFmtId="0" fontId="27" fillId="0" borderId="110" xfId="0" applyFont="1" applyFill="1" applyBorder="1"/>
    <xf numFmtId="1" fontId="34" fillId="16" borderId="111" xfId="0" applyNumberFormat="1" applyFont="1" applyFill="1" applyBorder="1" applyAlignment="1" applyProtection="1">
      <alignment horizontal="center" vertical="center"/>
      <protection locked="0"/>
    </xf>
    <xf numFmtId="0" fontId="106" fillId="0" borderId="110" xfId="0" quotePrefix="1" applyNumberFormat="1" applyFont="1" applyFill="1" applyBorder="1" applyAlignment="1" applyProtection="1">
      <alignment horizontal="center" vertical="center"/>
      <protection locked="0"/>
    </xf>
    <xf numFmtId="0" fontId="27" fillId="0" borderId="112" xfId="0" applyFont="1" applyFill="1" applyBorder="1"/>
    <xf numFmtId="0" fontId="185" fillId="13" borderId="0" xfId="0" applyFont="1" applyFill="1" applyAlignment="1" applyProtection="1">
      <alignment horizontal="left" vertical="center"/>
      <protection hidden="1"/>
    </xf>
    <xf numFmtId="0" fontId="186" fillId="13" borderId="0" xfId="0" applyFont="1" applyFill="1" applyBorder="1" applyAlignment="1" applyProtection="1">
      <alignment horizontal="right" vertical="top"/>
      <protection hidden="1"/>
    </xf>
    <xf numFmtId="49" fontId="187" fillId="0" borderId="66" xfId="0" applyNumberFormat="1" applyFont="1" applyBorder="1" applyAlignment="1" applyProtection="1">
      <alignment horizontal="center" vertical="center"/>
      <protection locked="0"/>
    </xf>
    <xf numFmtId="49" fontId="186" fillId="0" borderId="0" xfId="0" applyNumberFormat="1" applyFont="1"/>
    <xf numFmtId="49" fontId="186" fillId="0" borderId="113" xfId="0" applyNumberFormat="1" applyFont="1" applyBorder="1" applyAlignment="1" applyProtection="1">
      <alignment vertical="center"/>
      <protection locked="0"/>
    </xf>
    <xf numFmtId="49" fontId="186" fillId="0" borderId="114" xfId="0" applyNumberFormat="1" applyFont="1" applyBorder="1" applyAlignment="1" applyProtection="1">
      <alignment vertical="center"/>
      <protection locked="0"/>
    </xf>
    <xf numFmtId="49" fontId="186" fillId="0" borderId="66" xfId="0" applyNumberFormat="1" applyFont="1" applyBorder="1" applyAlignment="1" applyProtection="1">
      <alignment horizontal="left" vertical="center"/>
      <protection locked="0"/>
    </xf>
    <xf numFmtId="0" fontId="186" fillId="0" borderId="66" xfId="0" applyNumberFormat="1" applyFont="1" applyFill="1" applyBorder="1" applyAlignment="1" applyProtection="1">
      <alignment horizontal="left" vertical="center"/>
      <protection locked="0"/>
    </xf>
    <xf numFmtId="0" fontId="186" fillId="0" borderId="0" xfId="0" applyFont="1"/>
    <xf numFmtId="0" fontId="187" fillId="0" borderId="0" xfId="0" applyFont="1" applyAlignment="1">
      <alignment vertical="center"/>
    </xf>
    <xf numFmtId="2" fontId="186" fillId="0" borderId="115" xfId="0" applyNumberFormat="1" applyFont="1" applyFill="1" applyBorder="1" applyAlignment="1" applyProtection="1">
      <alignment horizontal="center" vertical="center"/>
      <protection locked="0"/>
    </xf>
    <xf numFmtId="2" fontId="186" fillId="0" borderId="116" xfId="0" applyNumberFormat="1" applyFont="1" applyFill="1" applyBorder="1" applyAlignment="1" applyProtection="1">
      <alignment horizontal="center" vertical="center"/>
      <protection locked="0"/>
    </xf>
    <xf numFmtId="2" fontId="186" fillId="0" borderId="117" xfId="0" applyNumberFormat="1" applyFont="1" applyFill="1" applyBorder="1" applyAlignment="1" applyProtection="1">
      <alignment horizontal="center" vertical="center"/>
      <protection locked="0"/>
    </xf>
    <xf numFmtId="0" fontId="186" fillId="0" borderId="66" xfId="0" applyFont="1" applyFill="1" applyBorder="1" applyAlignment="1" applyProtection="1">
      <alignment horizontal="center" vertical="center"/>
      <protection locked="0"/>
    </xf>
    <xf numFmtId="9" fontId="188" fillId="0" borderId="66" xfId="19" applyFont="1" applyFill="1" applyBorder="1" applyAlignment="1" applyProtection="1">
      <alignment horizontal="center" vertical="center"/>
      <protection locked="0"/>
    </xf>
    <xf numFmtId="9" fontId="188" fillId="0" borderId="66" xfId="19" applyFont="1" applyFill="1" applyBorder="1" applyAlignment="1" applyProtection="1">
      <alignment horizontal="center" vertical="center"/>
    </xf>
    <xf numFmtId="166" fontId="188" fillId="16" borderId="66" xfId="0" applyNumberFormat="1" applyFont="1" applyFill="1" applyBorder="1" applyAlignment="1" applyProtection="1">
      <alignment horizontal="center" vertical="center"/>
      <protection locked="0"/>
    </xf>
    <xf numFmtId="0" fontId="189" fillId="16" borderId="66" xfId="0" applyFont="1" applyFill="1" applyBorder="1" applyAlignment="1" applyProtection="1">
      <alignment horizontal="center" vertical="center"/>
      <protection locked="0"/>
    </xf>
    <xf numFmtId="0" fontId="189" fillId="0" borderId="66" xfId="0" applyFont="1" applyFill="1" applyBorder="1" applyAlignment="1" applyProtection="1">
      <alignment horizontal="center" vertical="center"/>
      <protection locked="0"/>
    </xf>
    <xf numFmtId="166" fontId="187" fillId="16" borderId="66" xfId="0" applyNumberFormat="1" applyFont="1" applyFill="1" applyBorder="1" applyAlignment="1" applyProtection="1">
      <alignment horizontal="center" vertical="center" wrapText="1"/>
      <protection locked="0"/>
    </xf>
    <xf numFmtId="170" fontId="190" fillId="14" borderId="66" xfId="0" applyNumberFormat="1" applyFont="1" applyFill="1" applyBorder="1" applyAlignment="1" applyProtection="1">
      <alignment horizontal="center" vertical="center"/>
      <protection locked="0"/>
    </xf>
    <xf numFmtId="0" fontId="191" fillId="0" borderId="118" xfId="0" applyFont="1" applyBorder="1" applyAlignment="1" applyProtection="1">
      <alignment horizontal="right" vertical="center"/>
    </xf>
    <xf numFmtId="0" fontId="191" fillId="0" borderId="100" xfId="0" applyFont="1" applyBorder="1" applyAlignment="1" applyProtection="1">
      <alignment horizontal="right" vertical="center"/>
    </xf>
    <xf numFmtId="0" fontId="192" fillId="14" borderId="0" xfId="0" applyFont="1" applyFill="1" applyBorder="1" applyAlignment="1" applyProtection="1">
      <alignment horizontal="left" vertical="top"/>
    </xf>
    <xf numFmtId="0" fontId="27" fillId="13" borderId="0" xfId="0" applyFont="1" applyFill="1" applyAlignment="1" applyProtection="1">
      <alignment horizontal="left" vertical="top"/>
      <protection hidden="1"/>
    </xf>
    <xf numFmtId="0" fontId="103" fillId="28" borderId="0" xfId="0" applyNumberFormat="1" applyFont="1" applyFill="1" applyBorder="1" applyAlignment="1" applyProtection="1">
      <alignment horizontal="left"/>
      <protection locked="0"/>
    </xf>
    <xf numFmtId="169" fontId="131" fillId="0" borderId="0" xfId="0" applyNumberFormat="1" applyFont="1" applyFill="1" applyBorder="1" applyAlignment="1" applyProtection="1">
      <alignment horizontal="right" vertical="center"/>
    </xf>
    <xf numFmtId="0" fontId="116" fillId="13" borderId="0" xfId="17" applyFont="1" applyFill="1" applyProtection="1"/>
    <xf numFmtId="0" fontId="116" fillId="13" borderId="0" xfId="17" applyFont="1" applyFill="1" applyProtection="1">
      <protection locked="0"/>
    </xf>
    <xf numFmtId="0" fontId="117" fillId="13" borderId="119" xfId="17" applyFont="1" applyFill="1" applyBorder="1" applyProtection="1"/>
    <xf numFmtId="0" fontId="16" fillId="0" borderId="119" xfId="0" applyFont="1" applyFill="1" applyBorder="1"/>
    <xf numFmtId="0" fontId="27" fillId="0" borderId="119" xfId="0" applyFont="1" applyBorder="1" applyProtection="1"/>
    <xf numFmtId="0" fontId="27" fillId="0" borderId="119" xfId="0" applyFont="1" applyFill="1" applyBorder="1" applyAlignment="1" applyProtection="1">
      <alignment horizontal="center"/>
    </xf>
    <xf numFmtId="0" fontId="116" fillId="13" borderId="120" xfId="17" applyFont="1" applyFill="1" applyBorder="1" applyProtection="1"/>
    <xf numFmtId="0" fontId="16" fillId="0" borderId="120" xfId="0" applyFont="1" applyFill="1" applyBorder="1"/>
    <xf numFmtId="49" fontId="27" fillId="13" borderId="120" xfId="17" applyNumberFormat="1" applyFont="1" applyFill="1" applyBorder="1" applyProtection="1"/>
    <xf numFmtId="0" fontId="27" fillId="0" borderId="120" xfId="0" applyFont="1" applyFill="1" applyBorder="1" applyProtection="1"/>
    <xf numFmtId="0" fontId="38" fillId="0" borderId="119" xfId="0" applyFont="1" applyFill="1" applyBorder="1" applyAlignment="1" applyProtection="1">
      <alignment horizontal="center"/>
    </xf>
    <xf numFmtId="0" fontId="27" fillId="0" borderId="119" xfId="0" applyFont="1" applyFill="1" applyBorder="1"/>
    <xf numFmtId="0" fontId="27" fillId="0" borderId="120" xfId="0" applyFont="1" applyFill="1" applyBorder="1" applyAlignment="1" applyProtection="1">
      <alignment horizontal="center"/>
    </xf>
    <xf numFmtId="0" fontId="27" fillId="0" borderId="120" xfId="0" applyFont="1" applyFill="1" applyBorder="1"/>
    <xf numFmtId="0" fontId="27" fillId="0" borderId="0" xfId="0" applyFont="1" applyFill="1" applyBorder="1" applyAlignment="1" applyProtection="1">
      <alignment horizontal="center" vertical="center"/>
    </xf>
    <xf numFmtId="1" fontId="34" fillId="16" borderId="15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vertical="center" wrapText="1"/>
    </xf>
    <xf numFmtId="16" fontId="27" fillId="0" borderId="0" xfId="0" quotePrefix="1" applyNumberFormat="1" applyFont="1" applyFill="1" applyBorder="1" applyAlignment="1" applyProtection="1">
      <alignment horizontal="center" vertical="center"/>
    </xf>
    <xf numFmtId="2" fontId="138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/>
    <xf numFmtId="165" fontId="136" fillId="0" borderId="0" xfId="0" applyNumberFormat="1" applyFont="1" applyFill="1" applyBorder="1"/>
    <xf numFmtId="0" fontId="201" fillId="0" borderId="0" xfId="0" applyNumberFormat="1" applyFont="1" applyAlignment="1">
      <alignment horizontal="center"/>
    </xf>
    <xf numFmtId="0" fontId="202" fillId="0" borderId="0" xfId="0" applyNumberFormat="1" applyFont="1" applyAlignment="1">
      <alignment horizontal="center"/>
    </xf>
    <xf numFmtId="0" fontId="203" fillId="0" borderId="0" xfId="0" applyNumberFormat="1" applyFont="1"/>
    <xf numFmtId="0" fontId="204" fillId="0" borderId="0" xfId="0" applyNumberFormat="1" applyFont="1" applyAlignment="1">
      <alignment horizontal="center"/>
    </xf>
    <xf numFmtId="0" fontId="202" fillId="0" borderId="0" xfId="0" applyNumberFormat="1" applyFont="1"/>
    <xf numFmtId="0" fontId="19" fillId="0" borderId="0" xfId="0" applyNumberFormat="1" applyFont="1" applyAlignment="1">
      <alignment horizontal="center"/>
    </xf>
    <xf numFmtId="0" fontId="203" fillId="0" borderId="0" xfId="0" quotePrefix="1" applyNumberFormat="1" applyFont="1"/>
    <xf numFmtId="0" fontId="54" fillId="21" borderId="0" xfId="0" applyFont="1" applyFill="1" applyBorder="1" applyAlignment="1" applyProtection="1">
      <alignment horizontal="left" vertical="center"/>
      <protection locked="0"/>
    </xf>
    <xf numFmtId="0" fontId="54" fillId="21" borderId="121" xfId="0" applyFont="1" applyFill="1" applyBorder="1" applyAlignment="1" applyProtection="1">
      <alignment horizontal="left" vertical="center"/>
      <protection locked="0"/>
    </xf>
    <xf numFmtId="0" fontId="54" fillId="21" borderId="78" xfId="0" applyFont="1" applyFill="1" applyBorder="1" applyAlignment="1" applyProtection="1">
      <alignment horizontal="left" vertical="center"/>
      <protection locked="0"/>
    </xf>
    <xf numFmtId="0" fontId="54" fillId="21" borderId="122" xfId="0" applyFont="1" applyFill="1" applyBorder="1" applyAlignment="1" applyProtection="1">
      <alignment horizontal="left" vertical="center"/>
      <protection locked="0"/>
    </xf>
    <xf numFmtId="0" fontId="113" fillId="0" borderId="0" xfId="0" applyFont="1" applyFill="1" applyBorder="1" applyAlignment="1">
      <alignment horizontal="left" vertical="top" wrapText="1"/>
    </xf>
    <xf numFmtId="0" fontId="54" fillId="21" borderId="79" xfId="0" quotePrefix="1" applyFont="1" applyFill="1" applyBorder="1" applyAlignment="1" applyProtection="1">
      <alignment horizontal="left" vertical="center"/>
      <protection locked="0"/>
    </xf>
    <xf numFmtId="0" fontId="54" fillId="21" borderId="124" xfId="0" quotePrefix="1" applyFont="1" applyFill="1" applyBorder="1" applyAlignment="1" applyProtection="1">
      <alignment horizontal="left" vertical="center"/>
      <protection locked="0"/>
    </xf>
    <xf numFmtId="0" fontId="113" fillId="13" borderId="123" xfId="0" applyFont="1" applyFill="1" applyBorder="1" applyAlignment="1" applyProtection="1">
      <alignment horizontal="left" vertical="top" wrapText="1"/>
      <protection hidden="1"/>
    </xf>
    <xf numFmtId="0" fontId="113" fillId="13" borderId="99" xfId="0" applyFont="1" applyFill="1" applyBorder="1" applyAlignment="1" applyProtection="1">
      <alignment horizontal="left" vertical="top" wrapText="1"/>
      <protection hidden="1"/>
    </xf>
    <xf numFmtId="4" fontId="193" fillId="14" borderId="0" xfId="0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Fill="1" applyBorder="1" applyAlignment="1">
      <alignment horizontal="center" vertical="top" wrapText="1"/>
    </xf>
    <xf numFmtId="165" fontId="175" fillId="0" borderId="82" xfId="0" applyNumberFormat="1" applyFont="1" applyFill="1" applyBorder="1" applyAlignment="1" applyProtection="1">
      <alignment horizontal="center" vertical="center"/>
    </xf>
    <xf numFmtId="165" fontId="175" fillId="0" borderId="80" xfId="0" applyNumberFormat="1" applyFont="1" applyFill="1" applyBorder="1" applyAlignment="1" applyProtection="1">
      <alignment horizontal="center" vertical="center"/>
    </xf>
    <xf numFmtId="165" fontId="175" fillId="0" borderId="125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wrapText="1"/>
    </xf>
    <xf numFmtId="49" fontId="26" fillId="0" borderId="17" xfId="0" applyNumberFormat="1" applyFont="1" applyFill="1" applyBorder="1" applyAlignment="1" applyProtection="1">
      <alignment horizontal="center" wrapText="1"/>
    </xf>
    <xf numFmtId="166" fontId="188" fillId="16" borderId="66" xfId="0" applyNumberFormat="1" applyFont="1" applyFill="1" applyBorder="1" applyAlignment="1" applyProtection="1">
      <alignment horizontal="center" vertical="center"/>
      <protection locked="0"/>
    </xf>
    <xf numFmtId="0" fontId="195" fillId="0" borderId="0" xfId="0" applyFont="1" applyFill="1" applyBorder="1" applyAlignment="1">
      <alignment vertical="center" wrapText="1"/>
    </xf>
    <xf numFmtId="0" fontId="28" fillId="16" borderId="32" xfId="0" applyFont="1" applyFill="1" applyBorder="1" applyAlignment="1">
      <alignment horizontal="center" textRotation="90" wrapText="1"/>
    </xf>
    <xf numFmtId="0" fontId="28" fillId="16" borderId="33" xfId="0" applyFont="1" applyFill="1" applyBorder="1" applyAlignment="1">
      <alignment horizontal="center" textRotation="90" wrapText="1"/>
    </xf>
    <xf numFmtId="0" fontId="28" fillId="16" borderId="34" xfId="0" applyFont="1" applyFill="1" applyBorder="1" applyAlignment="1">
      <alignment horizontal="center" textRotation="90" wrapText="1"/>
    </xf>
    <xf numFmtId="1" fontId="34" fillId="16" borderId="15" xfId="0" applyNumberFormat="1" applyFont="1" applyFill="1" applyBorder="1" applyAlignment="1" applyProtection="1">
      <alignment horizontal="center" vertical="center"/>
      <protection locked="0"/>
    </xf>
    <xf numFmtId="1" fontId="34" fillId="16" borderId="31" xfId="0" applyNumberFormat="1" applyFont="1" applyFill="1" applyBorder="1" applyAlignment="1" applyProtection="1">
      <alignment horizontal="center" vertical="center"/>
      <protection locked="0"/>
    </xf>
    <xf numFmtId="0" fontId="106" fillId="0" borderId="31" xfId="0" quotePrefix="1" applyNumberFormat="1" applyFont="1" applyFill="1" applyBorder="1" applyAlignment="1" applyProtection="1">
      <alignment horizontal="center" vertical="center"/>
      <protection locked="0"/>
    </xf>
    <xf numFmtId="0" fontId="106" fillId="0" borderId="111" xfId="0" quotePrefix="1" applyNumberFormat="1" applyFont="1" applyFill="1" applyBorder="1" applyAlignment="1" applyProtection="1">
      <alignment horizontal="center" vertical="center"/>
      <protection locked="0"/>
    </xf>
    <xf numFmtId="0" fontId="28" fillId="16" borderId="35" xfId="0" applyFont="1" applyFill="1" applyBorder="1" applyAlignment="1">
      <alignment horizontal="center" textRotation="90" wrapText="1"/>
    </xf>
    <xf numFmtId="0" fontId="28" fillId="16" borderId="36" xfId="0" applyFont="1" applyFill="1" applyBorder="1" applyAlignment="1">
      <alignment horizontal="center" textRotation="90" wrapText="1"/>
    </xf>
    <xf numFmtId="0" fontId="28" fillId="16" borderId="37" xfId="0" applyFont="1" applyFill="1" applyBorder="1" applyAlignment="1">
      <alignment horizontal="center" textRotation="90" wrapText="1"/>
    </xf>
    <xf numFmtId="165" fontId="175" fillId="0" borderId="108" xfId="0" applyNumberFormat="1" applyFont="1" applyFill="1" applyBorder="1" applyAlignment="1" applyProtection="1">
      <alignment horizontal="center" vertical="center"/>
    </xf>
    <xf numFmtId="165" fontId="175" fillId="0" borderId="126" xfId="0" applyNumberFormat="1" applyFont="1" applyFill="1" applyBorder="1" applyAlignment="1" applyProtection="1">
      <alignment horizontal="center" vertical="center"/>
    </xf>
    <xf numFmtId="0" fontId="162" fillId="0" borderId="0" xfId="0" applyFont="1" applyFill="1" applyBorder="1" applyAlignment="1" applyProtection="1">
      <alignment horizontal="right" wrapText="1"/>
    </xf>
    <xf numFmtId="0" fontId="162" fillId="0" borderId="11" xfId="0" applyFont="1" applyFill="1" applyBorder="1" applyAlignment="1">
      <alignment vertical="top" wrapText="1"/>
    </xf>
    <xf numFmtId="0" fontId="31" fillId="0" borderId="24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27" xfId="0" applyFont="1" applyBorder="1" applyAlignment="1">
      <alignment horizontal="center" vertical="center" wrapText="1"/>
    </xf>
    <xf numFmtId="0" fontId="31" fillId="0" borderId="128" xfId="0" applyFont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textRotation="90" wrapText="1"/>
    </xf>
    <xf numFmtId="0" fontId="28" fillId="16" borderId="42" xfId="0" applyFont="1" applyFill="1" applyBorder="1" applyAlignment="1">
      <alignment horizontal="center" textRotation="90" wrapText="1"/>
    </xf>
    <xf numFmtId="0" fontId="28" fillId="16" borderId="21" xfId="0" applyFont="1" applyFill="1" applyBorder="1" applyAlignment="1">
      <alignment horizontal="center" textRotation="90" wrapText="1"/>
    </xf>
    <xf numFmtId="165" fontId="175" fillId="0" borderId="77" xfId="0" applyNumberFormat="1" applyFont="1" applyFill="1" applyBorder="1" applyAlignment="1" applyProtection="1">
      <alignment horizontal="center" vertical="center"/>
    </xf>
    <xf numFmtId="0" fontId="196" fillId="0" borderId="108" xfId="0" applyFont="1" applyFill="1" applyBorder="1" applyAlignment="1">
      <alignment horizontal="center" vertical="center" textRotation="90" wrapText="1"/>
    </xf>
    <xf numFmtId="0" fontId="196" fillId="0" borderId="130" xfId="0" applyFont="1" applyFill="1" applyBorder="1" applyAlignment="1">
      <alignment horizontal="center" vertical="center" textRotation="90" wrapText="1"/>
    </xf>
    <xf numFmtId="0" fontId="196" fillId="0" borderId="126" xfId="0" applyFont="1" applyFill="1" applyBorder="1" applyAlignment="1">
      <alignment horizontal="center" vertical="center" textRotation="90" wrapText="1"/>
    </xf>
    <xf numFmtId="0" fontId="28" fillId="16" borderId="24" xfId="0" applyFont="1" applyFill="1" applyBorder="1" applyAlignment="1">
      <alignment horizontal="center" textRotation="90" wrapText="1"/>
    </xf>
    <xf numFmtId="0" fontId="28" fillId="16" borderId="22" xfId="0" applyFont="1" applyFill="1" applyBorder="1" applyAlignment="1">
      <alignment horizontal="center" textRotation="90" wrapText="1"/>
    </xf>
    <xf numFmtId="0" fontId="28" fillId="16" borderId="20" xfId="0" applyFont="1" applyFill="1" applyBorder="1" applyAlignment="1">
      <alignment horizontal="center" textRotation="90" wrapText="1"/>
    </xf>
    <xf numFmtId="0" fontId="178" fillId="0" borderId="108" xfId="0" applyFont="1" applyFill="1" applyBorder="1" applyAlignment="1">
      <alignment horizontal="center" vertical="center" textRotation="90" wrapText="1"/>
    </xf>
    <xf numFmtId="0" fontId="178" fillId="0" borderId="130" xfId="0" applyFont="1" applyFill="1" applyBorder="1" applyAlignment="1">
      <alignment horizontal="center" vertical="center" textRotation="90" wrapText="1"/>
    </xf>
    <xf numFmtId="0" fontId="178" fillId="0" borderId="126" xfId="0" applyFont="1" applyFill="1" applyBorder="1" applyAlignment="1">
      <alignment horizontal="center" vertical="center" textRotation="90" wrapText="1"/>
    </xf>
    <xf numFmtId="0" fontId="167" fillId="0" borderId="0" xfId="0" applyFont="1" applyFill="1" applyBorder="1" applyAlignment="1">
      <alignment horizontal="center" vertical="top" wrapText="1"/>
    </xf>
    <xf numFmtId="0" fontId="196" fillId="0" borderId="82" xfId="0" applyFont="1" applyFill="1" applyBorder="1" applyAlignment="1">
      <alignment horizontal="center" vertical="center" wrapText="1"/>
    </xf>
    <xf numFmtId="0" fontId="196" fillId="0" borderId="80" xfId="0" applyFont="1" applyFill="1" applyBorder="1" applyAlignment="1">
      <alignment horizontal="center" vertical="center" wrapText="1"/>
    </xf>
    <xf numFmtId="0" fontId="196" fillId="0" borderId="125" xfId="0" applyFont="1" applyFill="1" applyBorder="1" applyAlignment="1">
      <alignment horizontal="center" vertical="center" wrapText="1"/>
    </xf>
    <xf numFmtId="0" fontId="176" fillId="0" borderId="82" xfId="0" applyFont="1" applyFill="1" applyBorder="1" applyAlignment="1">
      <alignment horizontal="center" vertical="center" wrapText="1"/>
    </xf>
    <xf numFmtId="0" fontId="176" fillId="0" borderId="80" xfId="0" applyFont="1" applyFill="1" applyBorder="1" applyAlignment="1">
      <alignment horizontal="center" vertical="center" wrapText="1"/>
    </xf>
    <xf numFmtId="0" fontId="176" fillId="0" borderId="125" xfId="0" applyFont="1" applyFill="1" applyBorder="1" applyAlignment="1">
      <alignment horizontal="center" vertical="center" wrapText="1"/>
    </xf>
    <xf numFmtId="0" fontId="196" fillId="0" borderId="0" xfId="0" applyFont="1" applyAlignment="1">
      <alignment horizontal="left" vertical="center" wrapText="1"/>
    </xf>
    <xf numFmtId="0" fontId="197" fillId="13" borderId="129" xfId="17" applyFont="1" applyFill="1" applyBorder="1" applyAlignment="1" applyProtection="1">
      <alignment horizontal="center"/>
    </xf>
    <xf numFmtId="0" fontId="197" fillId="13" borderId="0" xfId="17" applyFont="1" applyFill="1" applyAlignment="1" applyProtection="1">
      <alignment horizontal="center"/>
    </xf>
    <xf numFmtId="0" fontId="26" fillId="0" borderId="0" xfId="0" applyFont="1" applyFill="1" applyBorder="1" applyAlignment="1">
      <alignment horizontal="left" vertical="center" wrapText="1"/>
    </xf>
    <xf numFmtId="0" fontId="106" fillId="0" borderId="131" xfId="0" quotePrefix="1" applyNumberFormat="1" applyFont="1" applyFill="1" applyBorder="1" applyAlignment="1" applyProtection="1">
      <alignment horizontal="center" vertical="center"/>
      <protection locked="0"/>
    </xf>
    <xf numFmtId="0" fontId="116" fillId="0" borderId="99" xfId="0" applyFont="1" applyFill="1" applyBorder="1" applyAlignment="1" applyProtection="1">
      <alignment horizontal="center" vertical="top"/>
    </xf>
    <xf numFmtId="0" fontId="148" fillId="0" borderId="11" xfId="0" applyFont="1" applyFill="1" applyBorder="1" applyAlignment="1">
      <alignment horizontal="left" vertical="top" wrapText="1"/>
    </xf>
    <xf numFmtId="0" fontId="148" fillId="0" borderId="0" xfId="0" applyFont="1" applyFill="1" applyBorder="1" applyAlignment="1">
      <alignment horizontal="left" vertical="top" wrapText="1"/>
    </xf>
    <xf numFmtId="0" fontId="113" fillId="0" borderId="11" xfId="0" applyFont="1" applyFill="1" applyBorder="1" applyAlignment="1">
      <alignment horizontal="left" vertical="top" wrapText="1"/>
    </xf>
    <xf numFmtId="0" fontId="104" fillId="0" borderId="0" xfId="0" applyFont="1" applyFill="1" applyBorder="1" applyAlignment="1" applyProtection="1">
      <alignment horizontal="left" wrapText="1"/>
    </xf>
    <xf numFmtId="2" fontId="176" fillId="0" borderId="79" xfId="0" applyNumberFormat="1" applyFont="1" applyFill="1" applyBorder="1" applyAlignment="1" applyProtection="1">
      <alignment horizontal="left" vertical="center" wrapText="1"/>
    </xf>
    <xf numFmtId="0" fontId="194" fillId="0" borderId="78" xfId="0" applyFont="1" applyFill="1" applyBorder="1" applyAlignment="1">
      <alignment horizontal="left" vertical="top" wrapText="1"/>
    </xf>
    <xf numFmtId="2" fontId="123" fillId="0" borderId="82" xfId="0" applyNumberFormat="1" applyFont="1" applyFill="1" applyBorder="1" applyAlignment="1" applyProtection="1">
      <alignment horizontal="center" vertical="center" wrapText="1"/>
    </xf>
    <xf numFmtId="2" fontId="123" fillId="0" borderId="80" xfId="0" applyNumberFormat="1" applyFont="1" applyFill="1" applyBorder="1" applyAlignment="1" applyProtection="1">
      <alignment horizontal="center" vertical="center" wrapText="1"/>
    </xf>
    <xf numFmtId="2" fontId="123" fillId="0" borderId="125" xfId="0" applyNumberFormat="1" applyFont="1" applyFill="1" applyBorder="1" applyAlignment="1" applyProtection="1">
      <alignment horizontal="center" vertical="center" wrapText="1"/>
    </xf>
    <xf numFmtId="0" fontId="162" fillId="0" borderId="11" xfId="0" applyFont="1" applyFill="1" applyBorder="1" applyAlignment="1">
      <alignment horizontal="left" vertical="top" wrapText="1"/>
    </xf>
    <xf numFmtId="0" fontId="16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2" fontId="123" fillId="0" borderId="75" xfId="0" applyNumberFormat="1" applyFont="1" applyFill="1" applyBorder="1" applyAlignment="1" applyProtection="1">
      <alignment horizontal="center" vertical="center" wrapText="1"/>
    </xf>
    <xf numFmtId="2" fontId="123" fillId="0" borderId="78" xfId="0" applyNumberFormat="1" applyFont="1" applyFill="1" applyBorder="1" applyAlignment="1" applyProtection="1">
      <alignment horizontal="center" vertical="center" wrapText="1"/>
    </xf>
    <xf numFmtId="2" fontId="123" fillId="0" borderId="122" xfId="0" applyNumberFormat="1" applyFont="1" applyFill="1" applyBorder="1" applyAlignment="1" applyProtection="1">
      <alignment horizontal="center" vertical="center" wrapText="1"/>
    </xf>
    <xf numFmtId="2" fontId="123" fillId="0" borderId="77" xfId="0" applyNumberFormat="1" applyFont="1" applyFill="1" applyBorder="1" applyAlignment="1" applyProtection="1">
      <alignment horizontal="center" vertical="center" wrapText="1"/>
    </xf>
    <xf numFmtId="2" fontId="123" fillId="0" borderId="79" xfId="0" applyNumberFormat="1" applyFont="1" applyFill="1" applyBorder="1" applyAlignment="1" applyProtection="1">
      <alignment horizontal="center" vertical="center" wrapText="1"/>
    </xf>
    <xf numFmtId="2" fontId="123" fillId="0" borderId="124" xfId="0" applyNumberFormat="1" applyFont="1" applyFill="1" applyBorder="1" applyAlignment="1" applyProtection="1">
      <alignment horizontal="center" vertical="center" wrapText="1"/>
    </xf>
    <xf numFmtId="0" fontId="196" fillId="0" borderId="75" xfId="0" applyFont="1" applyFill="1" applyBorder="1" applyAlignment="1">
      <alignment horizontal="center" vertical="center" wrapText="1"/>
    </xf>
    <xf numFmtId="0" fontId="196" fillId="0" borderId="78" xfId="0" applyFont="1" applyFill="1" applyBorder="1" applyAlignment="1">
      <alignment horizontal="center" vertical="center" wrapText="1"/>
    </xf>
    <xf numFmtId="0" fontId="196" fillId="0" borderId="122" xfId="0" applyFont="1" applyFill="1" applyBorder="1" applyAlignment="1">
      <alignment horizontal="center" vertical="center" wrapText="1"/>
    </xf>
    <xf numFmtId="0" fontId="196" fillId="0" borderId="77" xfId="0" applyFont="1" applyFill="1" applyBorder="1" applyAlignment="1">
      <alignment horizontal="center" vertical="center" wrapText="1"/>
    </xf>
    <xf numFmtId="0" fontId="196" fillId="0" borderId="79" xfId="0" applyFont="1" applyFill="1" applyBorder="1" applyAlignment="1">
      <alignment horizontal="center" vertical="center" wrapText="1"/>
    </xf>
    <xf numFmtId="0" fontId="196" fillId="0" borderId="124" xfId="0" applyFont="1" applyFill="1" applyBorder="1" applyAlignment="1">
      <alignment horizontal="center" vertical="center" wrapText="1"/>
    </xf>
    <xf numFmtId="0" fontId="197" fillId="13" borderId="0" xfId="17" applyFont="1" applyFill="1" applyBorder="1" applyAlignment="1" applyProtection="1">
      <alignment horizontal="center"/>
    </xf>
    <xf numFmtId="0" fontId="198" fillId="0" borderId="0" xfId="0" applyFont="1" applyAlignment="1">
      <alignment horizontal="left" vertical="center" wrapText="1"/>
    </xf>
    <xf numFmtId="0" fontId="124" fillId="0" borderId="22" xfId="0" applyFont="1" applyFill="1" applyBorder="1" applyAlignment="1" applyProtection="1">
      <alignment horizontal="center" vertical="top" textRotation="180"/>
      <protection hidden="1"/>
    </xf>
    <xf numFmtId="2" fontId="129" fillId="17" borderId="71" xfId="0" applyNumberFormat="1" applyFont="1" applyFill="1" applyBorder="1" applyAlignment="1" applyProtection="1">
      <alignment horizontal="center" vertical="center"/>
      <protection hidden="1"/>
    </xf>
    <xf numFmtId="2" fontId="129" fillId="17" borderId="50" xfId="0" applyNumberFormat="1" applyFont="1" applyFill="1" applyBorder="1" applyAlignment="1" applyProtection="1">
      <alignment horizontal="center" vertical="center"/>
      <protection hidden="1"/>
    </xf>
    <xf numFmtId="2" fontId="112" fillId="0" borderId="71" xfId="0" applyNumberFormat="1" applyFont="1" applyFill="1" applyBorder="1" applyAlignment="1" applyProtection="1">
      <alignment horizontal="center" vertical="center"/>
      <protection hidden="1"/>
    </xf>
    <xf numFmtId="2" fontId="112" fillId="0" borderId="72" xfId="0" applyNumberFormat="1" applyFont="1" applyFill="1" applyBorder="1" applyAlignment="1" applyProtection="1">
      <alignment horizontal="center" vertical="center"/>
      <protection hidden="1"/>
    </xf>
    <xf numFmtId="2" fontId="112" fillId="0" borderId="132" xfId="0" applyNumberFormat="1" applyFont="1" applyFill="1" applyBorder="1" applyAlignment="1" applyProtection="1">
      <alignment horizontal="center" vertical="center"/>
      <protection hidden="1"/>
    </xf>
    <xf numFmtId="0" fontId="199" fillId="16" borderId="43" xfId="0" applyFont="1" applyFill="1" applyBorder="1" applyAlignment="1">
      <alignment horizontal="center" vertical="center"/>
    </xf>
    <xf numFmtId="0" fontId="199" fillId="16" borderId="44" xfId="0" applyFont="1" applyFill="1" applyBorder="1" applyAlignment="1">
      <alignment horizontal="center" vertical="center"/>
    </xf>
    <xf numFmtId="0" fontId="199" fillId="16" borderId="45" xfId="0" applyFont="1" applyFill="1" applyBorder="1" applyAlignment="1">
      <alignment horizontal="center" vertical="center"/>
    </xf>
    <xf numFmtId="0" fontId="112" fillId="0" borderId="25" xfId="0" applyFont="1" applyFill="1" applyBorder="1" applyAlignment="1">
      <alignment horizontal="center" vertical="center"/>
    </xf>
    <xf numFmtId="0" fontId="112" fillId="0" borderId="21" xfId="0" applyFont="1" applyFill="1" applyBorder="1" applyAlignment="1">
      <alignment horizontal="center" vertical="center"/>
    </xf>
    <xf numFmtId="2" fontId="112" fillId="0" borderId="50" xfId="0" applyNumberFormat="1" applyFont="1" applyFill="1" applyBorder="1" applyAlignment="1" applyProtection="1">
      <alignment horizontal="center" vertical="center"/>
      <protection hidden="1"/>
    </xf>
    <xf numFmtId="0" fontId="112" fillId="0" borderId="25" xfId="0" applyFont="1" applyFill="1" applyBorder="1" applyAlignment="1">
      <alignment horizontal="right" vertical="center"/>
    </xf>
    <xf numFmtId="0" fontId="112" fillId="0" borderId="21" xfId="0" applyFont="1" applyFill="1" applyBorder="1" applyAlignment="1">
      <alignment horizontal="right" vertical="center"/>
    </xf>
    <xf numFmtId="0" fontId="112" fillId="0" borderId="10" xfId="0" applyFont="1" applyFill="1" applyBorder="1" applyAlignment="1">
      <alignment horizontal="right" vertical="center"/>
    </xf>
    <xf numFmtId="2" fontId="200" fillId="0" borderId="48" xfId="0" applyNumberFormat="1" applyFont="1" applyFill="1" applyBorder="1" applyAlignment="1" applyProtection="1">
      <alignment horizontal="center" vertical="center"/>
      <protection hidden="1"/>
    </xf>
    <xf numFmtId="2" fontId="200" fillId="0" borderId="133" xfId="0" applyNumberFormat="1" applyFont="1" applyFill="1" applyBorder="1" applyAlignment="1" applyProtection="1">
      <alignment horizontal="center" vertical="center"/>
      <protection hidden="1"/>
    </xf>
  </cellXfs>
  <cellStyles count="2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 3" xfId="16"/>
    <cellStyle name="Normalny_CENNIK_PL_DETAL_03" xfId="17"/>
    <cellStyle name="Obliczenia" xfId="18" builtinId="22" customBuiltin="1"/>
    <cellStyle name="Procentowy" xfId="19" builtinId="5"/>
    <cellStyle name="Suma" xfId="20" builtinId="25" customBuiltin="1"/>
    <cellStyle name="Tekst objaśnienia" xfId="21" builtinId="53" customBuiltin="1"/>
    <cellStyle name="Tekst ostrzeżenia" xfId="22" builtinId="11" customBuiltin="1"/>
    <cellStyle name="Tytuł" xfId="23" builtinId="15" customBuiltin="1"/>
    <cellStyle name="Uwaga" xfId="24" builtinId="10" customBuiltin="1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207352</xdr:colOff>
      <xdr:row>19</xdr:row>
      <xdr:rowOff>57150</xdr:rowOff>
    </xdr:from>
    <xdr:to>
      <xdr:col>17</xdr:col>
      <xdr:colOff>283552</xdr:colOff>
      <xdr:row>38</xdr:row>
      <xdr:rowOff>285750</xdr:rowOff>
    </xdr:to>
    <xdr:grpSp>
      <xdr:nvGrpSpPr>
        <xdr:cNvPr id="3" name="Grupa 2"/>
        <xdr:cNvGrpSpPr/>
      </xdr:nvGrpSpPr>
      <xdr:grpSpPr>
        <a:xfrm>
          <a:off x="6036652" y="5010150"/>
          <a:ext cx="8477250" cy="5619750"/>
          <a:chOff x="6032256" y="5032131"/>
          <a:chExt cx="8472854" cy="5613888"/>
        </a:xfrm>
      </xdr:grpSpPr>
      <xdr:pic>
        <xdr:nvPicPr>
          <xdr:cNvPr id="33998" name="Obraz 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32256" y="5032131"/>
            <a:ext cx="8472854" cy="56138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3999" name="Grupa 10"/>
          <xdr:cNvGrpSpPr>
            <a:grpSpLocks/>
          </xdr:cNvGrpSpPr>
        </xdr:nvGrpSpPr>
        <xdr:grpSpPr bwMode="auto">
          <a:xfrm>
            <a:off x="6098897" y="5089221"/>
            <a:ext cx="6407000" cy="5176196"/>
            <a:chOff x="6256453" y="5127725"/>
            <a:chExt cx="6571287" cy="5208330"/>
          </a:xfrm>
        </xdr:grpSpPr>
        <xdr:sp macro="" textlink="">
          <xdr:nvSpPr>
            <xdr:cNvPr id="5" name="pole tekstowe 4"/>
            <xdr:cNvSpPr txBox="1"/>
          </xdr:nvSpPr>
          <xdr:spPr bwMode="auto">
            <a:xfrm>
              <a:off x="6256453" y="5127725"/>
              <a:ext cx="3768970" cy="4595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pl-PL" sz="180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 Light" panose="020B0502040204020203" pitchFamily="34" charset="0"/>
                </a:rPr>
                <a:t>DACH</a:t>
              </a:r>
              <a:r>
                <a:rPr lang="pl-PL" sz="1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 Light" panose="020B0502040204020203" pitchFamily="34" charset="0"/>
                </a:rPr>
                <a:t> DWUSPADOWY OKAPOWY</a:t>
              </a:r>
              <a:endParaRPr lang="pl-PL" sz="1800">
                <a:solidFill>
                  <a:schemeClr val="tx1">
                    <a:lumMod val="65000"/>
                    <a:lumOff val="35000"/>
                  </a:schemeClr>
                </a:solidFill>
                <a:latin typeface="Bahnschrift Light" panose="020B0502040204020203" pitchFamily="34" charset="0"/>
              </a:endParaRPr>
            </a:p>
          </xdr:txBody>
        </xdr:sp>
        <xdr:grpSp>
          <xdr:nvGrpSpPr>
            <xdr:cNvPr id="34001" name="Grupa 6"/>
            <xdr:cNvGrpSpPr>
              <a:grpSpLocks/>
            </xdr:cNvGrpSpPr>
          </xdr:nvGrpSpPr>
          <xdr:grpSpPr bwMode="auto">
            <a:xfrm>
              <a:off x="7613673" y="5472395"/>
              <a:ext cx="5214067" cy="4863660"/>
              <a:chOff x="7613673" y="5472395"/>
              <a:chExt cx="5214067" cy="4863660"/>
            </a:xfrm>
          </xdr:grpSpPr>
          <xdr:sp macro="" textlink="">
            <xdr:nvSpPr>
              <xdr:cNvPr id="9" name="pole tekstowe 8"/>
              <xdr:cNvSpPr txBox="1"/>
            </xdr:nvSpPr>
            <xdr:spPr bwMode="auto">
              <a:xfrm rot="20636155">
                <a:off x="9781318" y="6142584"/>
                <a:ext cx="302689" cy="38296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ctr"/>
                <a:r>
                  <a:rPr lang="pl-PL" sz="1600" b="1">
                    <a:solidFill>
                      <a:srgbClr val="FF0000"/>
                    </a:solidFill>
                  </a:rPr>
                  <a:t>A</a:t>
                </a:r>
              </a:p>
            </xdr:txBody>
          </xdr:sp>
          <xdr:grpSp>
            <xdr:nvGrpSpPr>
              <xdr:cNvPr id="34003" name="Grupa 5"/>
              <xdr:cNvGrpSpPr>
                <a:grpSpLocks/>
              </xdr:cNvGrpSpPr>
            </xdr:nvGrpSpPr>
            <xdr:grpSpPr bwMode="auto">
              <a:xfrm>
                <a:off x="7613673" y="5472395"/>
                <a:ext cx="5214067" cy="4863660"/>
                <a:chOff x="7613673" y="5472395"/>
                <a:chExt cx="5214067" cy="4863660"/>
              </a:xfrm>
            </xdr:grpSpPr>
            <xdr:grpSp>
              <xdr:nvGrpSpPr>
                <xdr:cNvPr id="52" name="Grupa 20"/>
                <xdr:cNvGrpSpPr/>
              </xdr:nvGrpSpPr>
              <xdr:grpSpPr bwMode="auto">
                <a:xfrm rot="5470761">
                  <a:off x="11399898" y="7708233"/>
                  <a:ext cx="165415" cy="483543"/>
                  <a:chOff x="8558289" y="4875637"/>
                  <a:chExt cx="283778" cy="818603"/>
                </a:xfrm>
                <a:solidFill>
                  <a:srgbClr val="00CC00"/>
                </a:solidFill>
              </xdr:grpSpPr>
              <xdr:sp macro="" textlink="">
                <xdr:nvSpPr>
                  <xdr:cNvPr id="22" name="Trójkąt równoramienny 21"/>
                  <xdr:cNvSpPr/>
                </xdr:nvSpPr>
                <xdr:spPr>
                  <a:xfrm>
                    <a:off x="8642796" y="5545470"/>
                    <a:ext cx="147825" cy="148770"/>
                  </a:xfrm>
                  <a:prstGeom prst="triangle">
                    <a:avLst/>
                  </a:prstGeom>
                  <a:grpFill/>
                  <a:ln w="12700">
                    <a:solidFill>
                      <a:srgbClr val="00CC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endParaRPr lang="pl-PL"/>
                  </a:p>
                </xdr:txBody>
              </xdr:sp>
              <xdr:sp macro="" textlink="">
                <xdr:nvSpPr>
                  <xdr:cNvPr id="23" name="Trójkąt równoramienny 22"/>
                  <xdr:cNvSpPr/>
                </xdr:nvSpPr>
                <xdr:spPr>
                  <a:xfrm rot="10800000">
                    <a:off x="8626460" y="4875637"/>
                    <a:ext cx="147825" cy="165301"/>
                  </a:xfrm>
                  <a:prstGeom prst="triangle">
                    <a:avLst/>
                  </a:prstGeom>
                  <a:grpFill/>
                  <a:ln w="12700">
                    <a:solidFill>
                      <a:srgbClr val="00CC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endParaRPr lang="pl-PL"/>
                  </a:p>
                </xdr:txBody>
              </xdr:sp>
              <xdr:cxnSp macro="">
                <xdr:nvCxnSpPr>
                  <xdr:cNvPr id="24" name="Łącznik prosty 23"/>
                  <xdr:cNvCxnSpPr/>
                </xdr:nvCxnSpPr>
                <xdr:spPr>
                  <a:xfrm>
                    <a:off x="8562842" y="5060044"/>
                    <a:ext cx="279225" cy="0"/>
                  </a:xfrm>
                  <a:prstGeom prst="line">
                    <a:avLst/>
                  </a:prstGeom>
                  <a:grpFill/>
                  <a:ln w="12700">
                    <a:solidFill>
                      <a:srgbClr val="00CC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5" name="Łącznik prosty 24"/>
                  <xdr:cNvCxnSpPr/>
                </xdr:nvCxnSpPr>
                <xdr:spPr>
                  <a:xfrm>
                    <a:off x="8558289" y="5511651"/>
                    <a:ext cx="279222" cy="0"/>
                  </a:xfrm>
                  <a:prstGeom prst="line">
                    <a:avLst/>
                  </a:prstGeom>
                  <a:grpFill/>
                  <a:ln w="12700">
                    <a:solidFill>
                      <a:srgbClr val="00CC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4005" name="Grupa 2"/>
                <xdr:cNvGrpSpPr>
                  <a:grpSpLocks/>
                </xdr:cNvGrpSpPr>
              </xdr:nvGrpSpPr>
              <xdr:grpSpPr bwMode="auto">
                <a:xfrm>
                  <a:off x="7613673" y="5472395"/>
                  <a:ext cx="5214067" cy="4863660"/>
                  <a:chOff x="7613673" y="5472395"/>
                  <a:chExt cx="5214067" cy="4863660"/>
                </a:xfrm>
              </xdr:grpSpPr>
              <xdr:cxnSp macro="">
                <xdr:nvCxnSpPr>
                  <xdr:cNvPr id="8" name="Łącznik prosty ze strzałką 7"/>
                  <xdr:cNvCxnSpPr/>
                </xdr:nvCxnSpPr>
                <xdr:spPr bwMode="auto">
                  <a:xfrm flipV="1">
                    <a:off x="7867541" y="5472395"/>
                    <a:ext cx="4960199" cy="1675473"/>
                  </a:xfrm>
                  <a:prstGeom prst="straightConnector1">
                    <a:avLst/>
                  </a:prstGeom>
                  <a:ln w="15875">
                    <a:solidFill>
                      <a:srgbClr val="FF0000"/>
                    </a:solidFill>
                    <a:headEnd type="triangle"/>
                    <a:tailEnd type="triangle"/>
                  </a:ln>
                </xdr:spPr>
                <xdr:style>
                  <a:lnRef idx="2">
                    <a:schemeClr val="accent2"/>
                  </a:lnRef>
                  <a:fillRef idx="0">
                    <a:schemeClr val="accent2"/>
                  </a:fillRef>
                  <a:effectRef idx="1">
                    <a:schemeClr val="accent2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0" name="Łącznik prosty ze strzałką 9"/>
                  <xdr:cNvCxnSpPr/>
                </xdr:nvCxnSpPr>
                <xdr:spPr bwMode="auto">
                  <a:xfrm flipV="1">
                    <a:off x="11128774" y="5644729"/>
                    <a:ext cx="1396277" cy="2048865"/>
                  </a:xfrm>
                  <a:prstGeom prst="straightConnector1">
                    <a:avLst/>
                  </a:prstGeom>
                  <a:ln w="19050">
                    <a:solidFill>
                      <a:srgbClr val="FFC000"/>
                    </a:solidFill>
                    <a:headEnd type="triangle"/>
                    <a:tailEnd type="triangle"/>
                  </a:ln>
                </xdr:spPr>
                <xdr:style>
                  <a:lnRef idx="2">
                    <a:schemeClr val="accent2"/>
                  </a:lnRef>
                  <a:fillRef idx="0">
                    <a:schemeClr val="accent2"/>
                  </a:fillRef>
                  <a:effectRef idx="1">
                    <a:schemeClr val="accent2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2" name="pole tekstowe 11"/>
                  <xdr:cNvSpPr txBox="1"/>
                </xdr:nvSpPr>
                <xdr:spPr bwMode="auto">
                  <a:xfrm rot="18486026">
                    <a:off x="11422139" y="6527390"/>
                    <a:ext cx="536152" cy="302689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 algn="ctr"/>
                    <a:r>
                      <a:rPr lang="pl-PL" sz="1600" b="1">
                        <a:solidFill>
                          <a:srgbClr val="FFC000"/>
                        </a:solidFill>
                      </a:rPr>
                      <a:t>B0</a:t>
                    </a:r>
                  </a:p>
                </xdr:txBody>
              </xdr:sp>
              <xdr:cxnSp macro="">
                <xdr:nvCxnSpPr>
                  <xdr:cNvPr id="14" name="Łącznik prosty ze strzałką 13"/>
                  <xdr:cNvCxnSpPr/>
                </xdr:nvCxnSpPr>
                <xdr:spPr bwMode="auto">
                  <a:xfrm>
                    <a:off x="7877305" y="8354209"/>
                    <a:ext cx="0" cy="1464842"/>
                  </a:xfrm>
                  <a:prstGeom prst="straightConnector1">
                    <a:avLst/>
                  </a:prstGeom>
                  <a:ln w="15875">
                    <a:solidFill>
                      <a:srgbClr val="FF6600"/>
                    </a:solidFill>
                    <a:prstDash val="sysDash"/>
                    <a:headEnd type="triangle"/>
                    <a:tailEnd type="triangle"/>
                  </a:ln>
                </xdr:spPr>
                <xdr:style>
                  <a:lnRef idx="1">
                    <a:schemeClr val="accent4"/>
                  </a:lnRef>
                  <a:fillRef idx="0">
                    <a:schemeClr val="accent4"/>
                  </a:fillRef>
                  <a:effectRef idx="0">
                    <a:schemeClr val="accent4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5" name="pole tekstowe 14"/>
                  <xdr:cNvSpPr txBox="1"/>
                </xdr:nvSpPr>
                <xdr:spPr bwMode="auto">
                  <a:xfrm rot="16200000">
                    <a:off x="7496942" y="8451791"/>
                    <a:ext cx="536152" cy="302689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 algn="ctr"/>
                    <a:r>
                      <a:rPr lang="pl-PL" sz="1600" b="1">
                        <a:solidFill>
                          <a:srgbClr val="FF6600"/>
                        </a:solidFill>
                      </a:rPr>
                      <a:t>B2</a:t>
                    </a:r>
                  </a:p>
                </xdr:txBody>
              </xdr:sp>
              <xdr:cxnSp macro="">
                <xdr:nvCxnSpPr>
                  <xdr:cNvPr id="16" name="Łącznik prosty ze strzałką 15"/>
                  <xdr:cNvCxnSpPr/>
                </xdr:nvCxnSpPr>
                <xdr:spPr bwMode="auto">
                  <a:xfrm flipH="1" flipV="1">
                    <a:off x="9664148" y="8153152"/>
                    <a:ext cx="9764" cy="2182903"/>
                  </a:xfrm>
                  <a:prstGeom prst="straightConnector1">
                    <a:avLst/>
                  </a:prstGeom>
                  <a:ln w="19050">
                    <a:solidFill>
                      <a:srgbClr val="00B0F0"/>
                    </a:solidFill>
                    <a:headEnd type="triangle"/>
                    <a:tailEnd type="triangle"/>
                  </a:ln>
                </xdr:spPr>
                <xdr:style>
                  <a:lnRef idx="2">
                    <a:schemeClr val="accent2"/>
                  </a:lnRef>
                  <a:fillRef idx="0">
                    <a:schemeClr val="accent2"/>
                  </a:fillRef>
                  <a:effectRef idx="1">
                    <a:schemeClr val="accent2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7" name="pole tekstowe 16"/>
                  <xdr:cNvSpPr txBox="1"/>
                </xdr:nvSpPr>
                <xdr:spPr bwMode="auto">
                  <a:xfrm rot="16200000">
                    <a:off x="9288667" y="9117099"/>
                    <a:ext cx="536152" cy="312453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 algn="ctr"/>
                    <a:r>
                      <a:rPr lang="pl-PL" sz="1600" b="1">
                        <a:solidFill>
                          <a:srgbClr val="00B0F0"/>
                        </a:solidFill>
                      </a:rPr>
                      <a:t>C</a:t>
                    </a:r>
                  </a:p>
                </xdr:txBody>
              </xdr:sp>
              <xdr:cxnSp macro="">
                <xdr:nvCxnSpPr>
                  <xdr:cNvPr id="20" name="Łącznik prosty 19"/>
                  <xdr:cNvCxnSpPr/>
                </xdr:nvCxnSpPr>
                <xdr:spPr bwMode="auto">
                  <a:xfrm rot="5470761">
                    <a:off x="11455968" y="7576080"/>
                    <a:ext cx="9574" cy="761605"/>
                  </a:xfrm>
                  <a:prstGeom prst="line">
                    <a:avLst/>
                  </a:prstGeom>
                  <a:solidFill>
                    <a:srgbClr val="00CC00"/>
                  </a:solidFill>
                  <a:ln w="15875">
                    <a:solidFill>
                      <a:srgbClr val="00CC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" name="pole tekstowe 18"/>
                  <xdr:cNvSpPr txBox="1"/>
                </xdr:nvSpPr>
                <xdr:spPr bwMode="auto">
                  <a:xfrm>
                    <a:off x="11245944" y="7904225"/>
                    <a:ext cx="458916" cy="382965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 algn="ctr"/>
                    <a:r>
                      <a:rPr lang="pl-PL" sz="1600" b="1">
                        <a:solidFill>
                          <a:srgbClr val="00CC00"/>
                        </a:solidFill>
                      </a:rPr>
                      <a:t>E</a:t>
                    </a:r>
                  </a:p>
                </xdr:txBody>
              </xdr:sp>
              <xdr:cxnSp macro="">
                <xdr:nvCxnSpPr>
                  <xdr:cNvPr id="33" name="Łącznik prosty ze strzałką 32"/>
                  <xdr:cNvCxnSpPr/>
                </xdr:nvCxnSpPr>
                <xdr:spPr bwMode="auto">
                  <a:xfrm flipH="1">
                    <a:off x="7877305" y="8354209"/>
                    <a:ext cx="0" cy="497855"/>
                  </a:xfrm>
                  <a:prstGeom prst="straightConnector1">
                    <a:avLst/>
                  </a:prstGeom>
                  <a:ln w="22225">
                    <a:solidFill>
                      <a:srgbClr val="FF6600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4"/>
                  </a:lnRef>
                  <a:fillRef idx="0">
                    <a:schemeClr val="accent4"/>
                  </a:fillRef>
                  <a:effectRef idx="0">
                    <a:schemeClr val="accent4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51" name="Grupa 10"/>
                  <xdr:cNvGrpSpPr/>
                </xdr:nvGrpSpPr>
                <xdr:grpSpPr bwMode="auto">
                  <a:xfrm rot="2942771">
                    <a:off x="10698019" y="7479006"/>
                    <a:ext cx="146276" cy="800662"/>
                    <a:chOff x="3653314" y="6178041"/>
                    <a:chExt cx="95238" cy="364061"/>
                  </a:xfrm>
                  <a:solidFill>
                    <a:srgbClr val="FFC000"/>
                  </a:solidFill>
                </xdr:grpSpPr>
                <xdr:cxnSp macro="">
                  <xdr:nvCxnSpPr>
                    <xdr:cNvPr id="99" name="Łącznik prosty 98"/>
                    <xdr:cNvCxnSpPr/>
                  </xdr:nvCxnSpPr>
                  <xdr:spPr>
                    <a:xfrm rot="20590761">
                      <a:off x="3697973" y="6178041"/>
                      <a:ext cx="0" cy="364061"/>
                    </a:xfrm>
                    <a:prstGeom prst="line">
                      <a:avLst/>
                    </a:prstGeom>
                    <a:grpFill/>
                    <a:ln w="15875">
                      <a:solidFill>
                        <a:srgbClr val="FFC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50" name="Grupa 26"/>
                    <xdr:cNvGrpSpPr/>
                  </xdr:nvGrpSpPr>
                  <xdr:grpSpPr>
                    <a:xfrm rot="20590761">
                      <a:off x="3653314" y="6256059"/>
                      <a:ext cx="95238" cy="218669"/>
                      <a:chOff x="8955293" y="5033403"/>
                      <a:chExt cx="287511" cy="756859"/>
                    </a:xfrm>
                    <a:grpFill/>
                  </xdr:grpSpPr>
                  <xdr:sp macro="" textlink="">
                    <xdr:nvSpPr>
                      <xdr:cNvPr id="101" name="Trójkąt równoramienny 100"/>
                      <xdr:cNvSpPr/>
                    </xdr:nvSpPr>
                    <xdr:spPr>
                      <a:xfrm>
                        <a:off x="9012898" y="5621227"/>
                        <a:ext cx="150546" cy="169035"/>
                      </a:xfrm>
                      <a:prstGeom prst="triangle">
                        <a:avLst/>
                      </a:prstGeom>
                      <a:grpFill/>
                      <a:ln w="12700">
                        <a:solidFill>
                          <a:srgbClr val="FFC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endParaRPr lang="pl-PL"/>
                      </a:p>
                    </xdr:txBody>
                  </xdr:sp>
                  <xdr:sp macro="" textlink="">
                    <xdr:nvSpPr>
                      <xdr:cNvPr id="102" name="Trójkąt równoramienny 101"/>
                      <xdr:cNvSpPr/>
                    </xdr:nvSpPr>
                    <xdr:spPr>
                      <a:xfrm rot="10800000">
                        <a:off x="9025433" y="5033403"/>
                        <a:ext cx="150544" cy="153670"/>
                      </a:xfrm>
                      <a:prstGeom prst="triangle">
                        <a:avLst/>
                      </a:prstGeom>
                      <a:grpFill/>
                      <a:ln w="12700">
                        <a:solidFill>
                          <a:srgbClr val="FFC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endParaRPr lang="pl-PL"/>
                      </a:p>
                    </xdr:txBody>
                  </xdr:sp>
                  <xdr:cxnSp macro="">
                    <xdr:nvCxnSpPr>
                      <xdr:cNvPr id="103" name="Łącznik prosty 102"/>
                      <xdr:cNvCxnSpPr/>
                    </xdr:nvCxnSpPr>
                    <xdr:spPr>
                      <a:xfrm>
                        <a:off x="8955293" y="5176736"/>
                        <a:ext cx="282272" cy="0"/>
                      </a:xfrm>
                      <a:prstGeom prst="line">
                        <a:avLst/>
                      </a:prstGeom>
                      <a:grpFill/>
                      <a:ln w="12700">
                        <a:solidFill>
                          <a:srgbClr val="FFC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04" name="Łącznik prosty 103"/>
                      <xdr:cNvCxnSpPr/>
                    </xdr:nvCxnSpPr>
                    <xdr:spPr>
                      <a:xfrm>
                        <a:off x="8960531" y="5611420"/>
                        <a:ext cx="282273" cy="0"/>
                      </a:xfrm>
                      <a:prstGeom prst="line">
                        <a:avLst/>
                      </a:prstGeom>
                      <a:grpFill/>
                      <a:ln w="12700">
                        <a:solidFill>
                          <a:srgbClr val="FFC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sp macro="" textlink="">
                <xdr:nvSpPr>
                  <xdr:cNvPr id="105" name="pole tekstowe 104"/>
                  <xdr:cNvSpPr txBox="1"/>
                </xdr:nvSpPr>
                <xdr:spPr bwMode="auto">
                  <a:xfrm rot="18321039">
                    <a:off x="10411936" y="7648002"/>
                    <a:ext cx="499677" cy="312453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ctr">
                    <a:noAutofit/>
                  </a:bodyPr>
                  <a:lstStyle/>
                  <a:p>
                    <a:pPr algn="ctr"/>
                    <a:r>
                      <a:rPr lang="pl-PL" sz="1600" b="1">
                        <a:solidFill>
                          <a:srgbClr val="FFC000"/>
                        </a:solidFill>
                      </a:rPr>
                      <a:t>B1</a:t>
                    </a:r>
                  </a:p>
                </xdr:txBody>
              </xdr:sp>
            </xdr:grpSp>
          </xdr:grpSp>
        </xdr:grpSp>
      </xdr:grpSp>
    </xdr:grpSp>
    <xdr:clientData/>
  </xdr:twoCellAnchor>
  <xdr:twoCellAnchor editAs="oneCell">
    <xdr:from>
      <xdr:col>6</xdr:col>
      <xdr:colOff>828675</xdr:colOff>
      <xdr:row>1</xdr:row>
      <xdr:rowOff>0</xdr:rowOff>
    </xdr:from>
    <xdr:to>
      <xdr:col>11</xdr:col>
      <xdr:colOff>0</xdr:colOff>
      <xdr:row>3</xdr:row>
      <xdr:rowOff>95250</xdr:rowOff>
    </xdr:to>
    <xdr:pic>
      <xdr:nvPicPr>
        <xdr:cNvPr id="33996" name="Obraz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1" t="23096" r="12975" b="24940"/>
        <a:stretch>
          <a:fillRect/>
        </a:stretch>
      </xdr:blipFill>
      <xdr:spPr bwMode="auto">
        <a:xfrm>
          <a:off x="8001000" y="466725"/>
          <a:ext cx="24288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2819400</xdr:colOff>
      <xdr:row>14</xdr:row>
      <xdr:rowOff>215900</xdr:rowOff>
    </xdr:from>
    <xdr:to>
      <xdr:col>5</xdr:col>
      <xdr:colOff>224899</xdr:colOff>
      <xdr:row>15</xdr:row>
      <xdr:rowOff>1</xdr:rowOff>
    </xdr:to>
    <xdr:cxnSp macro="">
      <xdr:nvCxnSpPr>
        <xdr:cNvPr id="4" name="Łącznik prosty ze strzałką 3"/>
        <xdr:cNvCxnSpPr/>
      </xdr:nvCxnSpPr>
      <xdr:spPr>
        <a:xfrm>
          <a:off x="5810250" y="4203700"/>
          <a:ext cx="1230037" cy="6351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171450</xdr:rowOff>
    </xdr:from>
    <xdr:to>
      <xdr:col>11</xdr:col>
      <xdr:colOff>114300</xdr:colOff>
      <xdr:row>2</xdr:row>
      <xdr:rowOff>152400</xdr:rowOff>
    </xdr:to>
    <xdr:pic>
      <xdr:nvPicPr>
        <xdr:cNvPr id="28837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1" t="23096" r="12975" b="24940"/>
        <a:stretch>
          <a:fillRect/>
        </a:stretch>
      </xdr:blipFill>
      <xdr:spPr bwMode="auto">
        <a:xfrm>
          <a:off x="8067675" y="171450"/>
          <a:ext cx="20859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rzezinska/Desktop/Druki%20zam&#243;wie&#324;/AKTUALNE/Aktualne/DACHY/DR%20Druk_16.06.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kulator"/>
      <sheetName val="Oferta"/>
      <sheetName val="Dane_i_Wyliczenia"/>
      <sheetName val="Arkusz1"/>
      <sheetName val="mapa"/>
      <sheetName val="Specyfikacja"/>
      <sheetName val="CENNIK_EXP"/>
      <sheetName val="LANG"/>
      <sheetName val="Oferent"/>
      <sheetName val="GPP"/>
      <sheetName val="Lista"/>
      <sheetName val="Klauzule"/>
      <sheetName val="CENNIK"/>
      <sheetName val="CENNIK_DETAL KRAJ"/>
      <sheetName val="export"/>
      <sheetName val="wersja"/>
    </sheetNames>
    <sheetDataSet>
      <sheetData sheetId="0">
        <row r="25">
          <cell r="E25" t="str">
            <v>Rąbek modułowy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IU65536"/>
  <sheetViews>
    <sheetView showGridLines="0" showRowColHeaders="0" tabSelected="1" zoomScaleNormal="100" zoomScaleSheetLayoutView="70" workbookViewId="0">
      <selection activeCell="F3" sqref="F3"/>
    </sheetView>
  </sheetViews>
  <sheetFormatPr defaultColWidth="0" defaultRowHeight="12.75" zeroHeight="1"/>
  <cols>
    <col min="1" max="2" width="1.7109375" style="4" customWidth="1"/>
    <col min="3" max="3" width="41.42578125" style="4" customWidth="1"/>
    <col min="4" max="4" width="42.5703125" style="4" customWidth="1"/>
    <col min="5" max="5" width="14.7109375" style="5" customWidth="1"/>
    <col min="6" max="6" width="5.42578125" style="4" customWidth="1"/>
    <col min="7" max="7" width="14.140625" style="4" customWidth="1"/>
    <col min="8" max="8" width="10.42578125" style="4" customWidth="1"/>
    <col min="9" max="9" width="6.42578125" style="4" customWidth="1"/>
    <col min="10" max="10" width="8.7109375" style="4" customWidth="1"/>
    <col min="11" max="11" width="9.140625" style="4" customWidth="1"/>
    <col min="12" max="12" width="11.28515625" style="4" customWidth="1"/>
    <col min="13" max="17" width="9.140625" style="4" customWidth="1"/>
    <col min="18" max="18" width="6" style="4" customWidth="1"/>
    <col min="19" max="19" width="1.7109375" style="4" customWidth="1"/>
    <col min="20" max="25" width="2.28515625" style="4" hidden="1" customWidth="1"/>
    <col min="26" max="26" width="4.28515625" style="4" hidden="1" customWidth="1"/>
    <col min="27" max="255" width="2.28515625" style="4" hidden="1" customWidth="1"/>
    <col min="256" max="16384" width="0" style="4" hidden="1"/>
  </cols>
  <sheetData>
    <row r="1" spans="1:18" s="2" customFormat="1" ht="36.75" customHeight="1">
      <c r="C1" s="596" t="s">
        <v>708</v>
      </c>
      <c r="D1" s="35"/>
      <c r="E1" s="35"/>
      <c r="F1" s="108"/>
      <c r="G1" s="35"/>
      <c r="H1" s="35"/>
      <c r="I1" s="35"/>
      <c r="J1" s="35"/>
      <c r="K1" s="36" t="s">
        <v>744</v>
      </c>
    </row>
    <row r="2" spans="1:18" s="2" customFormat="1" ht="36" customHeight="1">
      <c r="B2" s="185"/>
      <c r="C2" s="33"/>
      <c r="D2" s="185"/>
      <c r="E2" s="185"/>
      <c r="F2" s="185"/>
      <c r="G2" s="185"/>
      <c r="H2" s="185"/>
      <c r="I2" s="185"/>
      <c r="J2" s="185"/>
      <c r="K2" s="185"/>
    </row>
    <row r="3" spans="1:18" s="2" customFormat="1" ht="22.15" customHeight="1">
      <c r="B3" s="185"/>
      <c r="C3" s="186" t="s">
        <v>772</v>
      </c>
      <c r="D3" s="598"/>
      <c r="E3" s="185"/>
      <c r="F3" s="185"/>
      <c r="G3" s="185"/>
      <c r="H3" s="185"/>
      <c r="I3" s="185"/>
      <c r="J3" s="185"/>
      <c r="K3" s="185"/>
    </row>
    <row r="4" spans="1:18" s="2" customFormat="1" ht="22.15" customHeight="1">
      <c r="B4" s="185"/>
      <c r="C4" s="187"/>
      <c r="D4" s="599"/>
      <c r="E4" s="571"/>
      <c r="F4" s="185"/>
      <c r="G4" s="185"/>
      <c r="H4" s="185"/>
      <c r="I4" s="185"/>
      <c r="J4" s="185"/>
      <c r="K4" s="185"/>
    </row>
    <row r="5" spans="1:18" s="2" customFormat="1" ht="22.15" customHeight="1">
      <c r="B5" s="185"/>
      <c r="C5" s="188" t="s">
        <v>1</v>
      </c>
      <c r="D5" s="598"/>
      <c r="E5" s="185"/>
      <c r="F5" s="185"/>
      <c r="G5" s="605" t="s">
        <v>785</v>
      </c>
      <c r="H5" s="189"/>
      <c r="I5" s="185"/>
      <c r="J5" s="185"/>
      <c r="K5" s="185"/>
    </row>
    <row r="6" spans="1:18" s="2" customFormat="1" ht="22.15" customHeight="1">
      <c r="B6" s="185"/>
      <c r="C6" s="188" t="s">
        <v>2</v>
      </c>
      <c r="D6" s="600"/>
      <c r="E6" s="185"/>
      <c r="F6" s="185"/>
      <c r="G6" s="321" t="s">
        <v>656</v>
      </c>
      <c r="H6" s="653"/>
      <c r="I6" s="653"/>
      <c r="J6" s="653"/>
      <c r="K6" s="654"/>
    </row>
    <row r="7" spans="1:18" s="2" customFormat="1" ht="22.15" customHeight="1">
      <c r="B7" s="185"/>
      <c r="C7" s="185"/>
      <c r="D7" s="601"/>
      <c r="E7" s="185"/>
      <c r="F7" s="185"/>
      <c r="G7" s="322" t="s">
        <v>657</v>
      </c>
      <c r="H7" s="651"/>
      <c r="I7" s="651"/>
      <c r="J7" s="651"/>
      <c r="K7" s="652"/>
    </row>
    <row r="8" spans="1:18" s="2" customFormat="1" ht="22.15" customHeight="1">
      <c r="B8" s="185"/>
      <c r="C8" s="188" t="s">
        <v>3</v>
      </c>
      <c r="D8" s="602"/>
      <c r="E8" s="185"/>
      <c r="F8" s="185"/>
      <c r="G8" s="322" t="s">
        <v>658</v>
      </c>
      <c r="H8" s="651" t="s">
        <v>92</v>
      </c>
      <c r="I8" s="651"/>
      <c r="J8" s="651"/>
      <c r="K8" s="652"/>
    </row>
    <row r="9" spans="1:18" s="2" customFormat="1" ht="22.15" customHeight="1">
      <c r="B9" s="185"/>
      <c r="C9" s="188" t="s">
        <v>98</v>
      </c>
      <c r="D9" s="603"/>
      <c r="E9" s="185"/>
      <c r="F9" s="185"/>
      <c r="G9" s="322" t="s">
        <v>659</v>
      </c>
      <c r="H9" s="651"/>
      <c r="I9" s="651"/>
      <c r="J9" s="651"/>
      <c r="K9" s="652"/>
    </row>
    <row r="10" spans="1:18" s="2" customFormat="1" ht="22.15" customHeight="1">
      <c r="B10" s="185"/>
      <c r="C10" s="185"/>
      <c r="D10" s="604"/>
      <c r="E10" s="185"/>
      <c r="F10" s="185"/>
      <c r="G10" s="322" t="s">
        <v>660</v>
      </c>
      <c r="H10" s="651" t="s">
        <v>33</v>
      </c>
      <c r="I10" s="651"/>
      <c r="J10" s="651"/>
      <c r="K10" s="652"/>
    </row>
    <row r="11" spans="1:18" ht="22.15" customHeight="1">
      <c r="B11" s="190"/>
      <c r="C11" s="188" t="s">
        <v>4</v>
      </c>
      <c r="D11" s="598" t="str">
        <f ca="1">TEXT(TODAY(),"RRRR-MM-DD")</f>
        <v>2026-04-15</v>
      </c>
      <c r="E11" s="185"/>
      <c r="F11" s="185"/>
      <c r="G11" s="323" t="s">
        <v>661</v>
      </c>
      <c r="H11" s="656" t="s">
        <v>83</v>
      </c>
      <c r="I11" s="656"/>
      <c r="J11" s="656"/>
      <c r="K11" s="657"/>
    </row>
    <row r="12" spans="1:18" ht="18" customHeight="1">
      <c r="B12" s="190"/>
      <c r="C12" s="597" t="s">
        <v>16</v>
      </c>
      <c r="D12" s="191"/>
      <c r="E12" s="192"/>
      <c r="F12" s="185"/>
      <c r="G12" s="190"/>
      <c r="H12" s="190"/>
      <c r="I12" s="190"/>
      <c r="J12" s="190"/>
      <c r="K12" s="190"/>
    </row>
    <row r="13" spans="1:18" ht="14.25" customHeight="1">
      <c r="B13" s="190"/>
      <c r="C13" s="193"/>
      <c r="D13" s="42"/>
      <c r="E13" s="109"/>
      <c r="F13" s="35"/>
      <c r="G13" s="39"/>
      <c r="H13" s="39"/>
      <c r="I13" s="39"/>
      <c r="J13" s="39"/>
      <c r="K13" s="39"/>
    </row>
    <row r="14" spans="1:18" ht="10.5" customHeight="1" thickBot="1"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</row>
    <row r="15" spans="1:18" ht="17.45" customHeight="1">
      <c r="A15" s="416"/>
      <c r="B15" s="418"/>
      <c r="C15" s="434" t="s">
        <v>301</v>
      </c>
      <c r="D15" s="393"/>
      <c r="E15" s="37"/>
      <c r="F15" s="118"/>
      <c r="G15" s="435" t="s">
        <v>743</v>
      </c>
      <c r="J15" s="109"/>
      <c r="Q15" s="414"/>
      <c r="R15" s="415"/>
    </row>
    <row r="16" spans="1:18" ht="17.45" customHeight="1">
      <c r="A16" s="416"/>
      <c r="B16" s="418"/>
      <c r="C16" s="434" t="s">
        <v>731</v>
      </c>
      <c r="D16" s="393"/>
      <c r="E16" s="37"/>
      <c r="F16" s="118"/>
      <c r="G16" s="435" t="s">
        <v>300</v>
      </c>
      <c r="H16" s="124"/>
      <c r="J16" s="109"/>
      <c r="R16" s="416"/>
    </row>
    <row r="17" spans="1:18" ht="17.25" customHeight="1">
      <c r="A17" s="416"/>
      <c r="C17" s="392"/>
      <c r="D17" s="393"/>
      <c r="E17" s="37"/>
      <c r="F17" s="118"/>
      <c r="G17" s="124"/>
      <c r="H17" s="124"/>
      <c r="J17" s="109"/>
      <c r="K17" s="394"/>
      <c r="R17" s="416"/>
    </row>
    <row r="18" spans="1:18" ht="19.149999999999999" customHeight="1">
      <c r="A18" s="416"/>
      <c r="C18" s="397" t="s">
        <v>692</v>
      </c>
      <c r="D18" s="614">
        <v>2</v>
      </c>
      <c r="E18" s="380"/>
      <c r="F18" s="118"/>
      <c r="G18" s="139"/>
      <c r="H18" s="139"/>
      <c r="I18" s="139"/>
      <c r="J18" s="139"/>
      <c r="K18" s="139"/>
      <c r="R18" s="416"/>
    </row>
    <row r="19" spans="1:18" ht="8.25" customHeight="1" thickBot="1">
      <c r="A19" s="416"/>
      <c r="B19" s="418"/>
      <c r="D19" s="382"/>
      <c r="F19" s="118"/>
      <c r="G19" s="124"/>
      <c r="H19" s="124"/>
      <c r="J19" s="109"/>
      <c r="K19" s="138"/>
      <c r="R19" s="416"/>
    </row>
    <row r="20" spans="1:18" ht="18" customHeight="1">
      <c r="A20" s="416"/>
      <c r="B20" s="418"/>
      <c r="C20" s="402" t="s">
        <v>699</v>
      </c>
      <c r="D20" s="606">
        <v>0</v>
      </c>
      <c r="E20" s="396"/>
      <c r="F20" s="118"/>
      <c r="G20" s="124"/>
      <c r="H20" s="124"/>
      <c r="I20" s="125"/>
      <c r="J20" s="109"/>
      <c r="K20" s="109"/>
      <c r="R20" s="416"/>
    </row>
    <row r="21" spans="1:18" ht="18" customHeight="1">
      <c r="A21" s="416"/>
      <c r="B21" s="418"/>
      <c r="C21" s="403" t="s">
        <v>700</v>
      </c>
      <c r="D21" s="607">
        <v>0</v>
      </c>
      <c r="E21" s="380"/>
      <c r="F21" s="118"/>
      <c r="H21" s="139"/>
      <c r="I21" s="139"/>
      <c r="J21" s="139"/>
      <c r="K21" s="139"/>
      <c r="R21" s="416"/>
    </row>
    <row r="22" spans="1:18" ht="18" customHeight="1">
      <c r="A22" s="416"/>
      <c r="B22" s="418"/>
      <c r="C22" s="403" t="s">
        <v>702</v>
      </c>
      <c r="D22" s="607">
        <v>0</v>
      </c>
      <c r="E22" s="380"/>
      <c r="F22" s="118"/>
      <c r="G22" s="139"/>
      <c r="H22" s="139"/>
      <c r="I22" s="139"/>
      <c r="J22" s="139"/>
      <c r="K22" s="139"/>
      <c r="R22" s="416"/>
    </row>
    <row r="23" spans="1:18" ht="18" customHeight="1">
      <c r="A23" s="416"/>
      <c r="B23" s="418"/>
      <c r="C23" s="403" t="s">
        <v>696</v>
      </c>
      <c r="D23" s="607">
        <v>0</v>
      </c>
      <c r="E23" s="381"/>
      <c r="G23" s="139"/>
      <c r="H23" s="139"/>
      <c r="I23" s="139"/>
      <c r="J23" s="139"/>
      <c r="K23" s="139"/>
      <c r="R23" s="416"/>
    </row>
    <row r="24" spans="1:18" ht="18" customHeight="1">
      <c r="A24" s="416"/>
      <c r="B24" s="418"/>
      <c r="C24" s="403" t="s">
        <v>701</v>
      </c>
      <c r="D24" s="607">
        <v>0</v>
      </c>
      <c r="E24" s="380"/>
      <c r="F24" s="118"/>
      <c r="R24" s="416"/>
    </row>
    <row r="25" spans="1:18" ht="18" customHeight="1" thickBot="1">
      <c r="A25" s="416"/>
      <c r="B25" s="418"/>
      <c r="C25" s="404" t="s">
        <v>739</v>
      </c>
      <c r="D25" s="608">
        <v>0</v>
      </c>
      <c r="E25" s="4"/>
      <c r="G25" s="139"/>
      <c r="H25" s="139"/>
      <c r="I25" s="139"/>
      <c r="J25" s="139"/>
      <c r="K25" s="139"/>
      <c r="R25" s="416"/>
    </row>
    <row r="26" spans="1:18" ht="6" customHeight="1">
      <c r="A26" s="416"/>
      <c r="B26" s="418"/>
      <c r="C26" s="406"/>
      <c r="D26" s="407"/>
      <c r="E26" s="4"/>
      <c r="G26" s="139"/>
      <c r="H26" s="139"/>
      <c r="I26" s="139"/>
      <c r="J26" s="139"/>
      <c r="K26" s="139"/>
      <c r="R26" s="416"/>
    </row>
    <row r="27" spans="1:18" ht="17.45" customHeight="1">
      <c r="A27" s="416"/>
      <c r="B27" s="418"/>
      <c r="C27" s="405" t="s">
        <v>698</v>
      </c>
      <c r="D27" s="609" t="s">
        <v>740</v>
      </c>
      <c r="E27" s="388"/>
      <c r="F27" s="401"/>
      <c r="G27" s="139"/>
      <c r="H27" s="139"/>
      <c r="I27" s="139"/>
      <c r="J27" s="139"/>
      <c r="K27" s="139"/>
      <c r="R27" s="416"/>
    </row>
    <row r="28" spans="1:18" ht="31.5" customHeight="1">
      <c r="A28" s="416"/>
      <c r="B28" s="418"/>
      <c r="C28" s="408" t="s">
        <v>705</v>
      </c>
      <c r="D28" s="383"/>
      <c r="F28" s="388"/>
      <c r="G28" s="388"/>
      <c r="H28" s="388"/>
      <c r="I28" s="388"/>
      <c r="J28" s="388"/>
      <c r="K28" s="388"/>
      <c r="R28" s="416"/>
    </row>
    <row r="29" spans="1:18" ht="38.450000000000003" customHeight="1">
      <c r="A29" s="416"/>
      <c r="B29" s="418"/>
      <c r="C29" s="397" t="s">
        <v>283</v>
      </c>
      <c r="D29" s="613" t="s">
        <v>559</v>
      </c>
      <c r="E29" s="655"/>
      <c r="F29" s="655"/>
      <c r="G29" s="655"/>
      <c r="H29" s="655"/>
      <c r="I29" s="655"/>
      <c r="J29" s="655"/>
      <c r="K29" s="655"/>
      <c r="R29" s="416"/>
    </row>
    <row r="30" spans="1:18" ht="21.6" hidden="1" customHeight="1">
      <c r="A30" s="416"/>
      <c r="B30" s="418"/>
      <c r="C30" s="397" t="s">
        <v>285</v>
      </c>
      <c r="D30" s="398" t="s">
        <v>585</v>
      </c>
      <c r="E30" s="139"/>
      <c r="F30" s="139"/>
      <c r="G30" s="139"/>
      <c r="H30" s="139"/>
      <c r="I30" s="139"/>
      <c r="J30" s="139"/>
      <c r="K30" s="139"/>
      <c r="R30" s="416"/>
    </row>
    <row r="31" spans="1:18" ht="30.75" customHeight="1">
      <c r="A31" s="416"/>
      <c r="B31" s="418"/>
      <c r="C31" s="658" t="s">
        <v>706</v>
      </c>
      <c r="D31" s="658"/>
      <c r="E31" s="388"/>
      <c r="F31" s="388"/>
      <c r="G31" s="388"/>
      <c r="H31" s="388"/>
      <c r="I31" s="388"/>
      <c r="J31" s="388"/>
      <c r="K31" s="139"/>
      <c r="R31" s="416"/>
    </row>
    <row r="32" spans="1:18" ht="37.15" customHeight="1">
      <c r="A32" s="419" t="str">
        <f>VLOOKUP(LEFT(D32,FIND(")",D32)),Szacunek!$O$2:$P$8,2,0)</f>
        <v>716R</v>
      </c>
      <c r="B32" s="418"/>
      <c r="C32" s="397" t="s">
        <v>297</v>
      </c>
      <c r="D32" s="615" t="s">
        <v>776</v>
      </c>
      <c r="E32" s="655"/>
      <c r="F32" s="655"/>
      <c r="G32" s="655"/>
      <c r="H32" s="655"/>
      <c r="I32" s="655"/>
      <c r="J32" s="655"/>
      <c r="K32" s="655"/>
      <c r="R32" s="416"/>
    </row>
    <row r="33" spans="1:18" ht="36.75" customHeight="1">
      <c r="A33" s="419"/>
      <c r="B33" s="418"/>
      <c r="C33" s="659" t="s">
        <v>697</v>
      </c>
      <c r="D33" s="659"/>
      <c r="E33" s="139"/>
      <c r="F33" s="139"/>
      <c r="G33" s="139"/>
      <c r="H33" s="139"/>
      <c r="I33" s="139"/>
      <c r="J33" s="388"/>
      <c r="K33" s="388"/>
      <c r="R33" s="416"/>
    </row>
    <row r="34" spans="1:18" ht="6" customHeight="1">
      <c r="A34" s="416"/>
      <c r="B34" s="418"/>
      <c r="E34" s="371"/>
      <c r="F34" s="371"/>
      <c r="G34" s="371"/>
      <c r="H34" s="371"/>
      <c r="I34" s="371"/>
      <c r="J34" s="371"/>
      <c r="K34" s="371"/>
      <c r="R34" s="416"/>
    </row>
    <row r="35" spans="1:18" ht="24" customHeight="1">
      <c r="A35" s="416"/>
      <c r="B35" s="418"/>
      <c r="C35" s="420" t="s">
        <v>704</v>
      </c>
      <c r="E35" s="371"/>
      <c r="F35" s="371"/>
      <c r="G35" s="371"/>
      <c r="H35" s="371"/>
      <c r="I35" s="371"/>
      <c r="J35" s="371"/>
      <c r="K35" s="371"/>
      <c r="R35" s="416"/>
    </row>
    <row r="36" spans="1:18" ht="30" customHeight="1">
      <c r="A36" s="416"/>
      <c r="B36" s="418"/>
      <c r="C36" s="399" t="s">
        <v>693</v>
      </c>
      <c r="D36" s="610">
        <v>1</v>
      </c>
      <c r="E36" s="395"/>
      <c r="F36" s="139"/>
      <c r="G36" s="139"/>
      <c r="H36" s="139"/>
      <c r="I36" s="139"/>
      <c r="J36" s="139"/>
      <c r="K36" s="139"/>
      <c r="R36" s="416"/>
    </row>
    <row r="37" spans="1:18" ht="30" customHeight="1">
      <c r="A37" s="416"/>
      <c r="B37" s="418"/>
      <c r="C37" s="399" t="s">
        <v>694</v>
      </c>
      <c r="D37" s="611">
        <f>100%-D36</f>
        <v>0</v>
      </c>
      <c r="E37" s="395"/>
      <c r="F37" s="139"/>
      <c r="G37" s="139"/>
      <c r="H37" s="139"/>
      <c r="I37" s="139"/>
      <c r="J37" s="139"/>
      <c r="K37" s="139"/>
      <c r="R37" s="416"/>
    </row>
    <row r="38" spans="1:18" ht="29.25" customHeight="1">
      <c r="A38" s="419"/>
      <c r="B38" s="418"/>
      <c r="C38" s="400" t="s">
        <v>695</v>
      </c>
      <c r="D38" s="612" t="s">
        <v>773</v>
      </c>
      <c r="E38" s="388"/>
      <c r="F38" s="388"/>
      <c r="G38" s="388"/>
      <c r="H38" s="388"/>
      <c r="I38" s="388"/>
      <c r="J38" s="388"/>
      <c r="K38" s="388"/>
      <c r="R38" s="416"/>
    </row>
    <row r="39" spans="1:18" ht="29.25" customHeight="1">
      <c r="A39" s="419"/>
      <c r="B39" s="418"/>
      <c r="C39" s="400" t="s">
        <v>654</v>
      </c>
      <c r="D39" s="612" t="s">
        <v>76</v>
      </c>
      <c r="E39" s="655"/>
      <c r="F39" s="655"/>
      <c r="G39" s="655"/>
      <c r="H39" s="655"/>
      <c r="I39" s="655"/>
      <c r="J39" s="655"/>
      <c r="K39" s="655"/>
      <c r="R39" s="416"/>
    </row>
    <row r="40" spans="1:18" ht="13.9" customHeight="1">
      <c r="A40" s="416"/>
      <c r="B40" s="418"/>
      <c r="C40" s="9"/>
      <c r="D40" s="9"/>
      <c r="E40" s="37"/>
      <c r="F40" s="118"/>
      <c r="G40" s="9"/>
      <c r="H40" s="119"/>
      <c r="I40" s="119"/>
      <c r="J40" s="120"/>
      <c r="K40" s="119"/>
      <c r="R40" s="416"/>
    </row>
    <row r="41" spans="1:18" ht="12.6" customHeight="1">
      <c r="A41" s="416"/>
      <c r="B41" s="418"/>
      <c r="C41" s="9"/>
      <c r="D41" s="9"/>
      <c r="E41" s="37"/>
      <c r="F41" s="118"/>
      <c r="G41" s="124"/>
      <c r="H41" s="124"/>
      <c r="I41" s="125"/>
      <c r="J41" s="109"/>
      <c r="K41" s="109"/>
      <c r="R41" s="416"/>
    </row>
    <row r="42" spans="1:18" ht="19.5" customHeight="1">
      <c r="A42" s="416"/>
      <c r="B42" s="418"/>
      <c r="C42" s="126"/>
      <c r="D42" s="660" t="s">
        <v>675</v>
      </c>
      <c r="E42" s="660"/>
      <c r="F42" s="139"/>
      <c r="G42" s="139"/>
      <c r="H42" s="139"/>
      <c r="I42" s="139"/>
      <c r="J42" s="109"/>
      <c r="K42" s="109"/>
      <c r="R42" s="416"/>
    </row>
    <row r="43" spans="1:18" ht="22.5" customHeight="1">
      <c r="A43" s="416"/>
      <c r="B43" s="418"/>
      <c r="D43" s="409" t="str">
        <f>'ZAMÓWIENIE | WYCENA'!C188</f>
        <v>wartość netto PLN</v>
      </c>
      <c r="E43" s="425">
        <f>'ZAMÓWIENIE | WYCENA'!E188</f>
        <v>0</v>
      </c>
      <c r="F43" s="139"/>
      <c r="G43" s="139"/>
      <c r="H43" s="139"/>
      <c r="I43" s="139"/>
      <c r="J43" s="109"/>
      <c r="K43" s="109"/>
      <c r="R43" s="416"/>
    </row>
    <row r="44" spans="1:18" ht="22.5" customHeight="1">
      <c r="A44" s="416"/>
      <c r="B44" s="418"/>
      <c r="D44" s="409" t="s">
        <v>707</v>
      </c>
      <c r="E44" s="425">
        <f>'ZAMÓWIENIE | WYCENA'!E197</f>
        <v>0</v>
      </c>
      <c r="G44" s="139"/>
      <c r="H44" s="139"/>
      <c r="I44" s="139"/>
      <c r="J44" s="139"/>
      <c r="K44" s="139"/>
      <c r="M44" s="410"/>
      <c r="R44" s="416"/>
    </row>
    <row r="45" spans="1:18" ht="22.5" customHeight="1">
      <c r="A45" s="416"/>
      <c r="B45" s="418"/>
      <c r="D45" s="409" t="str">
        <f>'ZAMÓWIENIE | WYCENA'!C198</f>
        <v>VAT 23%</v>
      </c>
      <c r="E45" s="425">
        <f>'ZAMÓWIENIE | WYCENA'!E198</f>
        <v>0</v>
      </c>
      <c r="F45" s="139"/>
      <c r="G45" s="139"/>
      <c r="H45" s="139"/>
      <c r="I45" s="139"/>
      <c r="J45" s="139"/>
      <c r="K45" s="139"/>
      <c r="R45" s="416"/>
    </row>
    <row r="46" spans="1:18" ht="22.5" customHeight="1">
      <c r="A46" s="416"/>
      <c r="B46" s="418"/>
      <c r="D46" s="409" t="str">
        <f>'ZAMÓWIENIE | WYCENA'!C199</f>
        <v>wartość brutto PLN</v>
      </c>
      <c r="E46" s="425">
        <f>'ZAMÓWIENIE | WYCENA'!E199</f>
        <v>0</v>
      </c>
      <c r="F46" s="139"/>
      <c r="G46" s="139"/>
      <c r="H46" s="139"/>
      <c r="I46" s="139"/>
      <c r="J46" s="109"/>
      <c r="K46" s="109"/>
      <c r="R46" s="416"/>
    </row>
    <row r="47" spans="1:18" ht="22.5" customHeight="1">
      <c r="A47" s="416"/>
      <c r="B47" s="418"/>
      <c r="D47" s="426" t="str">
        <f ca="1">"* Wysokość rabatów pochodzi z ark. ZAMÓWIENIE | WYCENA - komórki: "&amp;SUBSTITUTE(RIGHT(CELL("adres",'ZAMÓWIENIE | WYCENA'!C190),6),"$","")&amp;" - "&amp;SUBSTITUTE(RIGHT(CELL("adres",'ZAMÓWIENIE | WYCENA'!C193),6),"$","")</f>
        <v>* Wysokość rabatów pochodzi z ark. ZAMÓWIENIE | WYCENA - komórki: C190 - C193</v>
      </c>
      <c r="E47" s="427"/>
      <c r="F47" s="139"/>
      <c r="G47" s="139"/>
      <c r="H47" s="139"/>
      <c r="I47" s="139"/>
      <c r="J47" s="109"/>
      <c r="K47" s="109"/>
      <c r="R47" s="416"/>
    </row>
    <row r="48" spans="1:18" ht="22.5" customHeight="1" thickBot="1">
      <c r="A48" s="416"/>
      <c r="B48" s="418"/>
      <c r="D48" s="133"/>
      <c r="E48" s="379"/>
      <c r="F48" s="139"/>
      <c r="G48" s="139"/>
      <c r="H48" s="139"/>
      <c r="I48" s="139"/>
      <c r="J48" s="109"/>
      <c r="K48" s="109"/>
      <c r="R48" s="416"/>
    </row>
    <row r="49" spans="1:18" ht="32.25" customHeight="1" thickBot="1">
      <c r="A49" s="416"/>
      <c r="B49" s="418"/>
      <c r="C49" s="374"/>
      <c r="D49" s="428" t="s">
        <v>703</v>
      </c>
      <c r="R49" s="416"/>
    </row>
    <row r="50" spans="1:18" ht="17.45" customHeight="1" thickBot="1">
      <c r="A50" s="416"/>
      <c r="B50" s="421"/>
      <c r="C50" s="422" t="s">
        <v>299</v>
      </c>
      <c r="D50" s="413"/>
      <c r="E50" s="423"/>
      <c r="F50" s="423"/>
      <c r="G50" s="423"/>
      <c r="H50" s="423"/>
      <c r="I50" s="423"/>
      <c r="J50" s="424"/>
      <c r="K50" s="424"/>
      <c r="L50" s="413"/>
      <c r="M50" s="413"/>
      <c r="N50" s="413"/>
      <c r="O50" s="413"/>
      <c r="P50" s="413"/>
      <c r="Q50" s="413"/>
      <c r="R50" s="417"/>
    </row>
    <row r="51" spans="1:18" ht="7.5" customHeight="1"/>
    <row r="52" spans="1:18" hidden="1">
      <c r="E52" s="661"/>
      <c r="F52" s="661"/>
      <c r="G52" s="661"/>
      <c r="H52" s="661"/>
      <c r="I52" s="661"/>
      <c r="J52" s="661"/>
      <c r="K52" s="661"/>
      <c r="L52" s="661"/>
    </row>
    <row r="53" spans="1:18" hidden="1">
      <c r="E53" s="661"/>
      <c r="F53" s="661"/>
      <c r="G53" s="661"/>
      <c r="H53" s="661"/>
      <c r="I53" s="661"/>
      <c r="J53" s="661"/>
      <c r="K53" s="661"/>
      <c r="L53" s="661"/>
    </row>
    <row r="54" spans="1:18" hidden="1">
      <c r="E54" s="661"/>
      <c r="F54" s="661"/>
      <c r="G54" s="661"/>
      <c r="H54" s="661"/>
      <c r="I54" s="661"/>
      <c r="J54" s="661"/>
      <c r="K54" s="661"/>
      <c r="L54" s="661"/>
    </row>
    <row r="55" spans="1:18" hidden="1">
      <c r="E55" s="661"/>
      <c r="F55" s="661"/>
      <c r="G55" s="661"/>
      <c r="H55" s="661"/>
      <c r="I55" s="661"/>
      <c r="J55" s="661"/>
      <c r="K55" s="661"/>
      <c r="L55" s="661"/>
    </row>
    <row r="56" spans="1:18" ht="12.75" hidden="1" customHeight="1"/>
    <row r="57" spans="1:18" hidden="1"/>
    <row r="58" spans="1:18" hidden="1"/>
    <row r="59" spans="1:18" hidden="1">
      <c r="C59" s="412"/>
    </row>
    <row r="60" spans="1:18" hidden="1"/>
    <row r="61" spans="1:18" hidden="1"/>
    <row r="62" spans="1:18" hidden="1"/>
    <row r="63" spans="1:18" hidden="1"/>
    <row r="64" spans="1:18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t="9" hidden="1" customHeight="1"/>
  </sheetData>
  <sheetProtection password="EF50" sheet="1" objects="1" scenarios="1"/>
  <mergeCells count="13">
    <mergeCell ref="E39:K39"/>
    <mergeCell ref="C31:D31"/>
    <mergeCell ref="C33:D33"/>
    <mergeCell ref="D42:E42"/>
    <mergeCell ref="E52:L55"/>
    <mergeCell ref="H9:K9"/>
    <mergeCell ref="H8:K8"/>
    <mergeCell ref="H7:K7"/>
    <mergeCell ref="H6:K6"/>
    <mergeCell ref="E32:K32"/>
    <mergeCell ref="H10:K10"/>
    <mergeCell ref="E29:K29"/>
    <mergeCell ref="H11:K11"/>
  </mergeCells>
  <dataValidations count="9">
    <dataValidation type="list" showInputMessage="1" sqref="H8">
      <formula1>"SHO,SHC"</formula1>
    </dataValidation>
    <dataValidation type="list" allowBlank="1" showInputMessage="1" showErrorMessage="1" sqref="D32">
      <formula1>"grafit mat (Pural BT mat) ~RAL7016,grafit mat (Ultramat) ~RAL7016,grafit mat (Rough mat) ~RAL7016,czarny mat (Pural BT mat) ~RAL9005,czarny mat (Rough mat) ~RAL9005"</formula1>
    </dataValidation>
    <dataValidation type="list" allowBlank="1" showInputMessage="1" showErrorMessage="1" sqref="D27 F27">
      <formula1>"podbitka rąbek,podbitka nie z panelu na rąbek"</formula1>
    </dataValidation>
    <dataValidation type="list" allowBlank="1" showInputMessage="1" showErrorMessage="1" sqref="D29">
      <formula1>"Rąbek na wymiar,Rąbek modułowy"</formula1>
    </dataValidation>
    <dataValidation type="list" allowBlank="1" showInputMessage="1" showErrorMessage="1" sqref="H11">
      <formula1>"Transakcja zakupu wewn.,'- pusty -"</formula1>
    </dataValidation>
    <dataValidation type="list" allowBlank="1" showInputMessage="1" showErrorMessage="1" sqref="D38">
      <formula1>"płaski,mikrofala wąska,mikrofala szeroka,trapez podwójny,wzmocnienie podwójne,moleta"</formula1>
    </dataValidation>
    <dataValidation type="list" allowBlank="1" showInputMessage="1" showErrorMessage="1" sqref="D39">
      <formula1>"bez podbicia,mata antykondensacyjna,mata wygłuszająca"</formula1>
    </dataValidation>
    <dataValidation type="decimal" allowBlank="1" showInputMessage="1" showErrorMessage="1" sqref="D36:D37">
      <formula1>0</formula1>
      <formula2>1</formula2>
    </dataValidation>
    <dataValidation type="list" allowBlank="1" showInputMessage="1" showErrorMessage="1" sqref="D30">
      <formula1>"OKAPOWY,BEZOKAPOWY"</formula1>
    </dataValidation>
  </dataValidations>
  <printOptions horizontalCentered="1"/>
  <pageMargins left="0.39370078740157483" right="0.39370078740157483" top="0.39370078740157483" bottom="0.15748031496062992" header="0.51181102362204722" footer="0.51181102362204722"/>
  <pageSetup paperSize="9" scale="52" orientation="landscape" r:id="rId1"/>
  <headerFooter alignWithMargins="0">
    <oddFooter>&amp;C&amp;F; strona : &amp;P/&amp;N</oddFooter>
  </headerFooter>
  <ignoredErrors>
    <ignoredError sqref="D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U217"/>
  <sheetViews>
    <sheetView showGridLines="0" showRowColHeaders="0" zoomScale="90" zoomScaleNormal="90" zoomScaleSheetLayoutView="70" workbookViewId="0">
      <selection activeCell="E1" sqref="E1"/>
    </sheetView>
  </sheetViews>
  <sheetFormatPr defaultColWidth="0" defaultRowHeight="12.75" zeroHeight="1"/>
  <cols>
    <col min="1" max="1" width="2.28515625" style="308" customWidth="1"/>
    <col min="2" max="2" width="57.5703125" style="4" customWidth="1"/>
    <col min="3" max="3" width="28.7109375" style="4" customWidth="1"/>
    <col min="4" max="4" width="12" style="5" customWidth="1"/>
    <col min="5" max="5" width="10.5703125" style="373" customWidth="1"/>
    <col min="6" max="6" width="9.85546875" style="5" customWidth="1"/>
    <col min="7" max="7" width="9.85546875" style="5" hidden="1" customWidth="1"/>
    <col min="8" max="9" width="9.85546875" style="4" customWidth="1"/>
    <col min="10" max="10" width="9.85546875" style="4" hidden="1" customWidth="1"/>
    <col min="11" max="12" width="9.85546875" style="4" customWidth="1"/>
    <col min="13" max="13" width="1.42578125" style="4" customWidth="1"/>
    <col min="14" max="14" width="4.7109375" style="489" customWidth="1"/>
    <col min="15" max="15" width="1.85546875" style="355" customWidth="1"/>
    <col min="16" max="18" width="4.5703125" style="355" customWidth="1"/>
    <col min="19" max="21" width="5.28515625" style="355" customWidth="1"/>
    <col min="22" max="22" width="11.140625" style="250" hidden="1" customWidth="1"/>
    <col min="23" max="23" width="12.7109375" style="250" hidden="1" customWidth="1"/>
    <col min="24" max="24" width="13" style="250" hidden="1" customWidth="1"/>
    <col min="25" max="25" width="11.5703125" style="250" hidden="1" customWidth="1"/>
    <col min="26" max="26" width="6.5703125" style="250" hidden="1" customWidth="1"/>
    <col min="27" max="27" width="12" style="250" hidden="1" customWidth="1"/>
    <col min="28" max="28" width="10.140625" style="250" hidden="1" customWidth="1"/>
    <col min="29" max="29" width="9.7109375" style="250" hidden="1" customWidth="1"/>
    <col min="30" max="30" width="2.85546875" style="159" customWidth="1"/>
    <col min="31" max="31" width="7.7109375" style="355" customWidth="1"/>
    <col min="32" max="32" width="6.85546875" style="4" customWidth="1"/>
    <col min="33" max="33" width="6" style="4" customWidth="1"/>
    <col min="34" max="34" width="6.85546875" style="4" customWidth="1"/>
    <col min="35" max="35" width="7" style="4" customWidth="1"/>
    <col min="36" max="36" width="6" style="4" customWidth="1"/>
    <col min="37" max="38" width="6.85546875" style="4" customWidth="1"/>
    <col min="39" max="39" width="3.85546875" style="4" customWidth="1"/>
    <col min="40" max="40" width="22.42578125" style="325" customWidth="1"/>
    <col min="41" max="41" width="2.28515625" style="4" customWidth="1"/>
    <col min="42" max="42" width="9.7109375" style="4" hidden="1" customWidth="1"/>
    <col min="43" max="255" width="2.28515625" style="4" hidden="1" customWidth="1"/>
    <col min="256" max="16384" width="0" style="4" hidden="1"/>
  </cols>
  <sheetData>
    <row r="1" spans="1:54" ht="33.75" customHeight="1">
      <c r="B1" s="596" t="s">
        <v>182</v>
      </c>
      <c r="C1" s="38"/>
      <c r="D1" s="37"/>
      <c r="E1" s="372"/>
      <c r="F1" s="124"/>
      <c r="G1" s="124"/>
      <c r="H1" s="125"/>
      <c r="I1" s="109"/>
      <c r="J1" s="109"/>
      <c r="K1" s="109"/>
      <c r="L1" s="136" t="s">
        <v>748</v>
      </c>
      <c r="M1" s="35"/>
      <c r="N1" s="476"/>
      <c r="O1" s="331"/>
      <c r="P1" s="331"/>
      <c r="Q1" s="331"/>
      <c r="R1" s="331"/>
      <c r="S1" s="331"/>
      <c r="T1" s="331"/>
      <c r="U1" s="331"/>
      <c r="V1" s="249"/>
      <c r="W1" s="249"/>
      <c r="X1" s="249"/>
      <c r="Y1" s="249"/>
      <c r="Z1" s="249"/>
      <c r="AA1" s="249"/>
      <c r="AB1" s="249"/>
      <c r="AC1" s="249"/>
      <c r="AD1" s="158"/>
      <c r="AE1" s="356"/>
      <c r="AF1" s="9"/>
      <c r="AG1" s="9"/>
      <c r="AH1" s="9"/>
      <c r="AI1" s="9"/>
      <c r="AJ1" s="9"/>
      <c r="AK1" s="9"/>
      <c r="AL1" s="9"/>
      <c r="AM1" s="9"/>
      <c r="AN1" s="324"/>
    </row>
    <row r="2" spans="1:54" ht="22.5" customHeight="1">
      <c r="B2" s="620" t="s">
        <v>721</v>
      </c>
      <c r="C2" s="620"/>
      <c r="D2" s="37"/>
      <c r="E2" s="372"/>
      <c r="F2" s="124"/>
      <c r="G2" s="124"/>
      <c r="H2" s="125"/>
      <c r="I2" s="109"/>
      <c r="J2" s="109"/>
      <c r="K2" s="109"/>
      <c r="L2" s="136"/>
      <c r="M2" s="35"/>
      <c r="N2" s="476"/>
      <c r="O2" s="331"/>
      <c r="P2" s="331"/>
      <c r="Q2" s="331"/>
      <c r="R2" s="331"/>
      <c r="S2" s="331"/>
      <c r="T2" s="331"/>
      <c r="U2" s="331"/>
      <c r="V2" s="249"/>
      <c r="W2" s="249"/>
      <c r="X2" s="249"/>
      <c r="Y2" s="249"/>
      <c r="Z2" s="249"/>
      <c r="AA2" s="249"/>
      <c r="AB2" s="249"/>
      <c r="AC2" s="249"/>
      <c r="AD2" s="158"/>
      <c r="AE2" s="356"/>
      <c r="AF2" s="9"/>
      <c r="AG2" s="9"/>
      <c r="AH2" s="9"/>
      <c r="AI2" s="9"/>
      <c r="AJ2" s="9"/>
      <c r="AK2" s="9"/>
      <c r="AL2" s="9"/>
      <c r="AM2" s="9"/>
      <c r="AN2" s="324"/>
    </row>
    <row r="3" spans="1:54" ht="40.9" customHeight="1">
      <c r="B3" s="722" t="s">
        <v>742</v>
      </c>
      <c r="C3" s="722"/>
      <c r="D3" s="722"/>
      <c r="E3" s="372"/>
      <c r="F3" s="124"/>
      <c r="G3" s="124"/>
      <c r="H3" s="125"/>
      <c r="I3" s="109"/>
      <c r="J3" s="109"/>
      <c r="K3" s="109"/>
      <c r="L3" s="136"/>
      <c r="M3" s="35"/>
      <c r="N3" s="476"/>
      <c r="O3" s="331"/>
      <c r="P3" s="331"/>
      <c r="Q3" s="331"/>
      <c r="R3" s="331"/>
      <c r="S3" s="331"/>
      <c r="T3" s="331"/>
      <c r="U3" s="331"/>
      <c r="V3" s="249"/>
      <c r="W3" s="249"/>
      <c r="X3" s="249"/>
      <c r="Y3" s="249"/>
      <c r="Z3" s="249"/>
      <c r="AA3" s="249"/>
      <c r="AB3" s="249"/>
      <c r="AC3" s="249"/>
      <c r="AD3" s="158"/>
      <c r="AE3" s="356"/>
      <c r="AF3" s="9"/>
      <c r="AG3" s="9"/>
      <c r="AH3" s="9"/>
      <c r="AI3" s="9"/>
      <c r="AJ3" s="9"/>
      <c r="AK3" s="9"/>
      <c r="AL3" s="9"/>
      <c r="AM3" s="9"/>
      <c r="AN3" s="324"/>
    </row>
    <row r="4" spans="1:54" ht="13.15" customHeight="1">
      <c r="E4" s="128"/>
      <c r="F4" s="35"/>
      <c r="G4" s="35"/>
      <c r="H4" s="35"/>
      <c r="I4" s="35"/>
      <c r="J4" s="41"/>
      <c r="K4" s="41"/>
      <c r="L4" s="39"/>
      <c r="M4" s="39"/>
      <c r="N4" s="477"/>
      <c r="O4" s="332"/>
      <c r="P4" s="333"/>
      <c r="Q4" s="333"/>
      <c r="R4" s="333"/>
      <c r="S4" s="333"/>
      <c r="T4" s="333"/>
      <c r="U4" s="333"/>
    </row>
    <row r="5" spans="1:54" ht="18" customHeight="1">
      <c r="B5" s="82" t="s">
        <v>180</v>
      </c>
      <c r="C5" s="621"/>
      <c r="D5" s="84"/>
      <c r="E5" s="129"/>
      <c r="F5" s="84"/>
      <c r="G5" s="84"/>
      <c r="H5" s="85"/>
      <c r="I5" s="84"/>
      <c r="J5" s="86"/>
      <c r="K5" s="86"/>
      <c r="L5" s="84"/>
      <c r="M5" s="88"/>
      <c r="N5" s="478"/>
      <c r="O5" s="333"/>
      <c r="P5" s="502" t="s">
        <v>822</v>
      </c>
      <c r="R5" s="333"/>
      <c r="S5" s="333"/>
      <c r="T5" s="333"/>
      <c r="U5" s="333"/>
      <c r="AF5" s="723" t="s">
        <v>302</v>
      </c>
      <c r="AG5" s="723"/>
      <c r="AH5" s="723"/>
      <c r="AI5" s="723"/>
      <c r="AJ5" s="723"/>
      <c r="AK5" s="723"/>
      <c r="AL5" s="723"/>
    </row>
    <row r="6" spans="1:54" ht="29.25" customHeight="1">
      <c r="B6" s="432" t="s">
        <v>710</v>
      </c>
      <c r="C6" s="39"/>
      <c r="D6" s="39"/>
      <c r="E6" s="130"/>
      <c r="F6" s="152">
        <f>IF(F16&gt;0,1,0)</f>
        <v>0</v>
      </c>
      <c r="G6" s="152">
        <f t="shared" ref="G6:L6" si="0">IF(G16&gt;0,1,0)</f>
        <v>0</v>
      </c>
      <c r="H6" s="152">
        <f t="shared" si="0"/>
        <v>0</v>
      </c>
      <c r="I6" s="152">
        <f t="shared" si="0"/>
        <v>0</v>
      </c>
      <c r="J6" s="152">
        <f t="shared" si="0"/>
        <v>0</v>
      </c>
      <c r="K6" s="152">
        <f t="shared" si="0"/>
        <v>0</v>
      </c>
      <c r="L6" s="151">
        <f t="shared" si="0"/>
        <v>0</v>
      </c>
      <c r="M6" s="93"/>
      <c r="N6" s="703" t="s">
        <v>278</v>
      </c>
      <c r="O6" s="333"/>
      <c r="P6" s="707" t="s">
        <v>311</v>
      </c>
      <c r="Q6" s="708"/>
      <c r="R6" s="708"/>
      <c r="S6" s="708"/>
      <c r="T6" s="708"/>
      <c r="U6" s="709"/>
      <c r="AF6" s="724" t="s">
        <v>684</v>
      </c>
      <c r="AG6" s="724"/>
      <c r="AH6" s="724"/>
      <c r="AI6" s="724"/>
      <c r="AJ6" s="724"/>
      <c r="AK6" s="724"/>
      <c r="AL6" s="724"/>
      <c r="AN6" s="706" t="s">
        <v>533</v>
      </c>
    </row>
    <row r="7" spans="1:54" ht="15" customHeight="1">
      <c r="B7" s="681" t="s">
        <v>181</v>
      </c>
      <c r="C7" s="681"/>
      <c r="D7" s="681"/>
      <c r="E7" s="131"/>
      <c r="F7" s="683" t="s">
        <v>261</v>
      </c>
      <c r="G7" s="684"/>
      <c r="H7" s="687" t="s">
        <v>162</v>
      </c>
      <c r="I7" s="688"/>
      <c r="J7" s="684"/>
      <c r="K7" s="687" t="s">
        <v>99</v>
      </c>
      <c r="L7" s="691"/>
      <c r="M7" s="89"/>
      <c r="N7" s="704"/>
      <c r="O7" s="333"/>
      <c r="P7" s="697" t="s">
        <v>774</v>
      </c>
      <c r="Q7" s="697" t="s">
        <v>715</v>
      </c>
      <c r="R7" s="697" t="s">
        <v>96</v>
      </c>
      <c r="S7" s="697" t="s">
        <v>688</v>
      </c>
      <c r="T7" s="697" t="s">
        <v>689</v>
      </c>
      <c r="U7" s="697" t="s">
        <v>690</v>
      </c>
      <c r="AN7" s="706"/>
    </row>
    <row r="8" spans="1:54" ht="22.15" customHeight="1">
      <c r="B8" s="433" t="s">
        <v>69</v>
      </c>
      <c r="C8" s="667" t="s">
        <v>70</v>
      </c>
      <c r="D8" s="667"/>
      <c r="E8" s="131"/>
      <c r="F8" s="685"/>
      <c r="G8" s="686"/>
      <c r="H8" s="689"/>
      <c r="I8" s="690"/>
      <c r="J8" s="686"/>
      <c r="K8" s="689"/>
      <c r="L8" s="692"/>
      <c r="M8" s="89"/>
      <c r="N8" s="704"/>
      <c r="O8" s="333"/>
      <c r="P8" s="698"/>
      <c r="Q8" s="698"/>
      <c r="R8" s="698"/>
      <c r="S8" s="698"/>
      <c r="T8" s="698"/>
      <c r="U8" s="698"/>
      <c r="AN8" s="706" t="s">
        <v>532</v>
      </c>
    </row>
    <row r="9" spans="1:54" ht="22.15" customHeight="1">
      <c r="B9" s="433" t="s">
        <v>186</v>
      </c>
      <c r="C9" s="667" t="s">
        <v>76</v>
      </c>
      <c r="D9" s="667"/>
      <c r="E9" s="128"/>
      <c r="F9" s="693" t="s">
        <v>752</v>
      </c>
      <c r="G9" s="676" t="s">
        <v>713</v>
      </c>
      <c r="H9" s="669" t="s">
        <v>753</v>
      </c>
      <c r="I9" s="693" t="s">
        <v>754</v>
      </c>
      <c r="J9" s="700" t="s">
        <v>714</v>
      </c>
      <c r="K9" s="669" t="s">
        <v>753</v>
      </c>
      <c r="L9" s="693" t="s">
        <v>754</v>
      </c>
      <c r="M9" s="90"/>
      <c r="N9" s="704"/>
      <c r="O9" s="333"/>
      <c r="P9" s="698"/>
      <c r="Q9" s="698"/>
      <c r="R9" s="698"/>
      <c r="S9" s="698"/>
      <c r="T9" s="698"/>
      <c r="U9" s="698"/>
      <c r="V9" s="251" t="str">
        <f>IFERROR(HLOOKUP(1,$F$6:$L$13,8,0),"_")</f>
        <v>_</v>
      </c>
      <c r="W9" s="252" t="str">
        <f>LEFT('Dane podst. zamówienia'!D32,FIND(")",'Dane podst. zamówienia'!D32))</f>
        <v>grafit mat (Rough mat)</v>
      </c>
      <c r="Y9" s="250" t="s">
        <v>306</v>
      </c>
      <c r="Z9" s="250" t="s">
        <v>143</v>
      </c>
      <c r="AA9" s="250" t="s">
        <v>647</v>
      </c>
      <c r="AB9" s="250" t="s">
        <v>646</v>
      </c>
      <c r="AC9" s="250" t="s">
        <v>648</v>
      </c>
      <c r="AN9" s="706"/>
    </row>
    <row r="10" spans="1:54" ht="17.45" customHeight="1">
      <c r="D10" s="4"/>
      <c r="E10" s="128"/>
      <c r="F10" s="694"/>
      <c r="G10" s="677"/>
      <c r="H10" s="670"/>
      <c r="I10" s="694"/>
      <c r="J10" s="701"/>
      <c r="K10" s="670"/>
      <c r="L10" s="694"/>
      <c r="M10" s="90"/>
      <c r="N10" s="704"/>
      <c r="O10" s="333"/>
      <c r="P10" s="698"/>
      <c r="Q10" s="698"/>
      <c r="R10" s="698"/>
      <c r="S10" s="698"/>
      <c r="T10" s="698"/>
      <c r="U10" s="698"/>
      <c r="V10" s="253" t="str">
        <f>VLOOKUP(C8,Szacunek!$Q$2:$R$7,2,0)</f>
        <v>P</v>
      </c>
      <c r="W10" s="254"/>
      <c r="AB10" s="250" t="str">
        <f>VLOOKUP('Dane podst. zamówienia'!D38,Szacunek!$Q$2:$R$7,2,0)</f>
        <v>M</v>
      </c>
      <c r="AC10" s="250" t="str">
        <f>"3341-501-"&amp;'Dane podst. zamówienia'!$A$32&amp;"-R"&amp;$AB$11&amp;$AB$10&amp;"000"</f>
        <v>3341-501-716R-RPM000</v>
      </c>
      <c r="AN10" s="522" t="str">
        <f>'Dane podst. zamówienia'!A32</f>
        <v>716R</v>
      </c>
    </row>
    <row r="11" spans="1:54" ht="16.899999999999999" customHeight="1">
      <c r="E11" s="128"/>
      <c r="F11" s="694"/>
      <c r="G11" s="677"/>
      <c r="H11" s="670"/>
      <c r="I11" s="694"/>
      <c r="J11" s="701"/>
      <c r="K11" s="670"/>
      <c r="L11" s="694"/>
      <c r="M11" s="90"/>
      <c r="N11" s="704"/>
      <c r="O11" s="333"/>
      <c r="P11" s="698"/>
      <c r="Q11" s="698"/>
      <c r="R11" s="698"/>
      <c r="S11" s="698"/>
      <c r="T11" s="698"/>
      <c r="U11" s="698"/>
      <c r="V11" s="253" t="str">
        <f>VLOOKUP(C9,Szacunek!$S$2:$T$4,2,0)</f>
        <v>P</v>
      </c>
      <c r="W11" s="254"/>
      <c r="AB11" s="250" t="str">
        <f>VLOOKUP('Dane podst. zamówienia'!D39,Szacunek!$S$2:$T$4,2,0)</f>
        <v>P</v>
      </c>
      <c r="AC11" s="250" t="str">
        <f>"3341-292-"&amp;'Dane podst. zamówienia'!$A$32&amp;"-R"&amp;$AB$11&amp;$AB$10&amp;"000"</f>
        <v>3341-292-716R-RPM000</v>
      </c>
    </row>
    <row r="12" spans="1:54" ht="6" customHeight="1">
      <c r="B12" s="40"/>
      <c r="C12" s="40"/>
      <c r="D12" s="665" t="s">
        <v>184</v>
      </c>
      <c r="F12" s="695"/>
      <c r="G12" s="678"/>
      <c r="H12" s="671"/>
      <c r="I12" s="695"/>
      <c r="J12" s="702"/>
      <c r="K12" s="671"/>
      <c r="L12" s="695"/>
      <c r="M12" s="90"/>
      <c r="N12" s="705"/>
      <c r="O12" s="333"/>
      <c r="P12" s="699"/>
      <c r="Q12" s="699"/>
      <c r="R12" s="699"/>
      <c r="S12" s="699"/>
      <c r="T12" s="699"/>
      <c r="U12" s="699"/>
    </row>
    <row r="13" spans="1:54" s="11" customFormat="1" ht="24.6" customHeight="1" thickBot="1">
      <c r="A13" s="309"/>
      <c r="B13" s="44"/>
      <c r="C13" s="45" t="s">
        <v>0</v>
      </c>
      <c r="D13" s="666"/>
      <c r="E13" s="110" t="s">
        <v>183</v>
      </c>
      <c r="F13" s="541" t="s">
        <v>44</v>
      </c>
      <c r="G13" s="542" t="s">
        <v>93</v>
      </c>
      <c r="H13" s="544" t="s">
        <v>156</v>
      </c>
      <c r="I13" s="46" t="s">
        <v>155</v>
      </c>
      <c r="J13" s="543" t="s">
        <v>154</v>
      </c>
      <c r="K13" s="544" t="s">
        <v>42</v>
      </c>
      <c r="L13" s="543" t="s">
        <v>41</v>
      </c>
      <c r="M13" s="89"/>
      <c r="N13" s="479"/>
      <c r="O13" s="334"/>
      <c r="P13" s="710" t="s">
        <v>94</v>
      </c>
      <c r="Q13" s="711"/>
      <c r="R13" s="712"/>
      <c r="S13" s="504" t="s">
        <v>685</v>
      </c>
      <c r="T13" s="504" t="s">
        <v>686</v>
      </c>
      <c r="U13" s="504" t="s">
        <v>687</v>
      </c>
      <c r="V13" s="250"/>
      <c r="W13" s="250"/>
      <c r="X13" s="250"/>
      <c r="Y13" s="250"/>
      <c r="Z13" s="250"/>
      <c r="AA13" s="250"/>
      <c r="AB13" s="250"/>
      <c r="AC13" s="250"/>
      <c r="AD13" s="159"/>
      <c r="AE13" s="557" t="s">
        <v>691</v>
      </c>
      <c r="AF13" s="725" t="str">
        <f>IF(COUNTIFS(F16:L16,0)&gt;=6,"","W jednym zamówieniu możesz  wybrać tylko 1 rodzaj wykończenia i koloru")</f>
        <v/>
      </c>
      <c r="AG13" s="726"/>
      <c r="AH13" s="726"/>
      <c r="AI13" s="726"/>
      <c r="AJ13" s="726"/>
      <c r="AK13" s="726"/>
      <c r="AL13" s="727"/>
      <c r="AP13" s="730"/>
      <c r="AQ13" s="730"/>
      <c r="AR13" s="730"/>
      <c r="AS13" s="730"/>
      <c r="AT13" s="730"/>
      <c r="AU13" s="730"/>
      <c r="AV13" s="730"/>
      <c r="AW13" s="730"/>
      <c r="AX13" s="730"/>
      <c r="AY13" s="730"/>
      <c r="AZ13" s="730"/>
      <c r="BA13" s="730"/>
      <c r="BB13" s="730"/>
    </row>
    <row r="14" spans="1:54" ht="22.5" customHeight="1" thickBot="1">
      <c r="B14" s="436" t="s">
        <v>236</v>
      </c>
      <c r="C14" s="437" t="str">
        <f>"3341-501-"&amp;$V$9&amp;"-R"&amp;V11&amp;$V$10&amp;"000"</f>
        <v>3341-501-_-RPP000</v>
      </c>
      <c r="D14" s="438" t="s">
        <v>49</v>
      </c>
      <c r="E14" s="439">
        <f>Szacunek!J31*WYKON_KALK</f>
        <v>0</v>
      </c>
      <c r="F14" s="529"/>
      <c r="G14" s="411"/>
      <c r="H14" s="528"/>
      <c r="I14" s="530"/>
      <c r="J14" s="531"/>
      <c r="K14" s="528"/>
      <c r="L14" s="531"/>
      <c r="M14" s="91"/>
      <c r="N14" s="475" t="s">
        <v>279</v>
      </c>
      <c r="O14" s="333"/>
      <c r="P14" s="679">
        <v>5</v>
      </c>
      <c r="Q14" s="679">
        <v>7.9</v>
      </c>
      <c r="R14" s="679">
        <v>13.5</v>
      </c>
      <c r="S14" s="494">
        <v>60.3</v>
      </c>
      <c r="T14" s="494">
        <v>59.3</v>
      </c>
      <c r="U14" s="494">
        <v>75.599999999999994</v>
      </c>
      <c r="V14" s="255">
        <f>($Q$16+$R$16+$P$16+S14)*(F14+G14)</f>
        <v>0</v>
      </c>
      <c r="W14" s="562">
        <f>($Q$16+$R$16+$P$16+T14)*(H14+I14+J14)</f>
        <v>0</v>
      </c>
      <c r="X14" s="562">
        <f>($Q$16+$R$16+$P$16+U14)*(K14+L14)</f>
        <v>0</v>
      </c>
      <c r="Y14" s="255">
        <f>SUM(V14:X14)</f>
        <v>0</v>
      </c>
      <c r="Z14" s="563">
        <f>VLOOKUP(N14,$A$190:$C$195,3,0)</f>
        <v>0</v>
      </c>
      <c r="AA14" s="562">
        <f>Y14-(Y14*Z14)</f>
        <v>0</v>
      </c>
      <c r="AB14" s="562">
        <f>IF(MID(AN14,13,1)="M",($P$17+$Q$17+$R$17+U14)*E14,IF(MID(AN14,13,1)="R",($P$17+$Q$17+$R$17+T14)*E14,($Q$17+$R$17+S14)*E14))</f>
        <v>0</v>
      </c>
      <c r="AC14" s="562">
        <f>AB14-(Z14*AB14)</f>
        <v>0</v>
      </c>
      <c r="AD14" s="160"/>
      <c r="AE14" s="496">
        <f>Specyfikacja!E4</f>
        <v>0</v>
      </c>
      <c r="AF14" s="731" t="str">
        <f>IF((Specyfikacja!E4+Specyfikacja!L4)=SUM('ZAMÓWIENIE | WYCENA'!F16:L16),"","Aby złożyć wiążące zamówienie uzupełnij 'Specyfikację' i wpisz do tabeli zamówienia sumaryczną ilość m2 (wyświetlaną obok - kol. AD)")</f>
        <v/>
      </c>
      <c r="AG14" s="732"/>
      <c r="AH14" s="732"/>
      <c r="AI14" s="732"/>
      <c r="AJ14" s="732"/>
      <c r="AK14" s="732"/>
      <c r="AL14" s="733"/>
      <c r="AM14" s="140"/>
      <c r="AN14" s="503" t="str">
        <f>AC10</f>
        <v>3341-501-716R-RPM000</v>
      </c>
      <c r="AO14" s="3"/>
      <c r="AP14" s="3"/>
      <c r="AQ14" s="498"/>
    </row>
    <row r="15" spans="1:54" ht="22.5" customHeight="1" thickBot="1">
      <c r="B15" s="436" t="s">
        <v>237</v>
      </c>
      <c r="C15" s="437" t="str">
        <f>"3341-292-"&amp;$V$9&amp;"-R"&amp;V11&amp;$V$10&amp;"000"</f>
        <v>3341-292-_-RPP000</v>
      </c>
      <c r="D15" s="438" t="s">
        <v>49</v>
      </c>
      <c r="E15" s="439">
        <f>Szacunek!J32*WYKON_KALK</f>
        <v>0</v>
      </c>
      <c r="F15" s="529"/>
      <c r="G15" s="411"/>
      <c r="H15" s="528"/>
      <c r="I15" s="530"/>
      <c r="J15" s="531"/>
      <c r="K15" s="528"/>
      <c r="L15" s="531"/>
      <c r="M15" s="91"/>
      <c r="N15" s="475" t="s">
        <v>279</v>
      </c>
      <c r="O15" s="333"/>
      <c r="P15" s="680"/>
      <c r="Q15" s="680"/>
      <c r="R15" s="696"/>
      <c r="S15" s="494">
        <v>78.400000000000006</v>
      </c>
      <c r="T15" s="494">
        <v>77.099999999999994</v>
      </c>
      <c r="U15" s="494">
        <v>98.3</v>
      </c>
      <c r="V15" s="255">
        <f>($Q$16+$R$16+$P$16+S15)*(F15+G15)</f>
        <v>0</v>
      </c>
      <c r="W15" s="562">
        <f>($Q$16+$R$16+$P$16+T15)*(H15+I15+J15)</f>
        <v>0</v>
      </c>
      <c r="X15" s="562">
        <f>($Q$16+$R$16+$P$16+U15)*(K15+L15)</f>
        <v>0</v>
      </c>
      <c r="Y15" s="255">
        <f>SUM(V15:X15)</f>
        <v>0</v>
      </c>
      <c r="Z15" s="563">
        <f>VLOOKUP(N15,$A$190:$C$195,3,0)</f>
        <v>0</v>
      </c>
      <c r="AA15" s="562">
        <f>Y15-(Y15*Z15)</f>
        <v>0</v>
      </c>
      <c r="AB15" s="562">
        <f>IF(MID(AN15,13,1)="M",($P$17+$Q$17+$R$17+U15)*E15,IF(MID(AN15,13,1)="R",($P$17+$Q$17+$R$17+T15)*E15,($Q$17+$R$17+S15)*E15))</f>
        <v>0</v>
      </c>
      <c r="AC15" s="562">
        <f>AB15-(Z15*AB15)</f>
        <v>0</v>
      </c>
      <c r="AD15" s="160"/>
      <c r="AE15" s="497">
        <f>Specyfikacja!L4</f>
        <v>0</v>
      </c>
      <c r="AF15" s="734"/>
      <c r="AG15" s="735"/>
      <c r="AH15" s="735"/>
      <c r="AI15" s="735"/>
      <c r="AJ15" s="735"/>
      <c r="AK15" s="735"/>
      <c r="AL15" s="736"/>
      <c r="AN15" s="503" t="str">
        <f>AC11</f>
        <v>3341-292-716R-RPM000</v>
      </c>
      <c r="AO15" s="3"/>
      <c r="AP15" s="3"/>
    </row>
    <row r="16" spans="1:54" ht="17.45" customHeight="1">
      <c r="B16" s="728" t="s">
        <v>741</v>
      </c>
      <c r="C16" s="728"/>
      <c r="D16" s="728"/>
      <c r="E16" s="430" t="s">
        <v>299</v>
      </c>
      <c r="F16" s="579">
        <f t="shared" ref="F16:L16" si="1">SUM(F14:F15)</f>
        <v>0</v>
      </c>
      <c r="G16" s="582">
        <f t="shared" si="1"/>
        <v>0</v>
      </c>
      <c r="H16" s="583">
        <f>SUM(H14:H15)</f>
        <v>0</v>
      </c>
      <c r="I16" s="377">
        <f t="shared" si="1"/>
        <v>0</v>
      </c>
      <c r="J16" s="378">
        <f t="shared" si="1"/>
        <v>0</v>
      </c>
      <c r="K16" s="377">
        <f t="shared" si="1"/>
        <v>0</v>
      </c>
      <c r="L16" s="377">
        <f t="shared" si="1"/>
        <v>0</v>
      </c>
      <c r="M16" s="88"/>
      <c r="N16" s="478"/>
      <c r="O16" s="333"/>
      <c r="P16" s="622">
        <f>IF($C$8=Szacunek!$Q$3,P14,0)</f>
        <v>0</v>
      </c>
      <c r="Q16" s="622">
        <f>IF($C$9=Szacunek!$S$3,Q14,0)</f>
        <v>0</v>
      </c>
      <c r="R16" s="622">
        <f>IF($C$9=Szacunek!$S$4,R14,0)</f>
        <v>0</v>
      </c>
      <c r="W16" s="252"/>
      <c r="X16" s="252"/>
      <c r="Y16" s="562"/>
      <c r="Z16" s="562"/>
      <c r="AA16" s="562"/>
      <c r="AB16" s="562"/>
      <c r="AC16" s="562"/>
      <c r="AE16" s="501"/>
      <c r="AF16" s="499"/>
      <c r="AG16" s="499"/>
      <c r="AH16" s="499"/>
      <c r="AI16" s="499"/>
      <c r="AJ16" s="499"/>
      <c r="AK16" s="499"/>
      <c r="AL16" s="499"/>
      <c r="AN16" s="386"/>
      <c r="AO16" s="3"/>
      <c r="AP16" s="3"/>
    </row>
    <row r="17" spans="1:42" ht="9.75" customHeight="1">
      <c r="B17" s="729"/>
      <c r="C17" s="729"/>
      <c r="D17" s="729"/>
      <c r="E17" s="128"/>
      <c r="F17" s="580"/>
      <c r="G17" s="149"/>
      <c r="H17" s="150"/>
      <c r="I17" s="145"/>
      <c r="J17" s="146"/>
      <c r="K17" s="145"/>
      <c r="L17" s="145"/>
      <c r="M17" s="88"/>
      <c r="N17" s="478"/>
      <c r="O17" s="333"/>
      <c r="P17" s="335">
        <f>IF('Dane podst. zamówienia'!$D$38=Szacunek!$Q$3,P14,0)</f>
        <v>5</v>
      </c>
      <c r="Q17" s="335">
        <f>IF('Dane podst. zamówienia'!$D$39=Szacunek!$S$3,Q14,0)</f>
        <v>0</v>
      </c>
      <c r="R17" s="335">
        <f>IF('Dane podst. zamówienia'!$D$39=Szacunek!$S$4,R14,0)</f>
        <v>0</v>
      </c>
      <c r="W17" s="252"/>
      <c r="X17" s="252"/>
      <c r="Y17" s="562"/>
      <c r="Z17" s="562"/>
      <c r="AA17" s="562"/>
      <c r="AB17" s="562"/>
      <c r="AC17" s="562"/>
      <c r="AF17" s="500"/>
      <c r="AG17" s="500"/>
      <c r="AH17" s="500"/>
      <c r="AI17" s="500"/>
      <c r="AJ17" s="500"/>
      <c r="AK17" s="500"/>
      <c r="AL17" s="500"/>
      <c r="AN17" s="386"/>
      <c r="AO17" s="3"/>
      <c r="AP17" s="3"/>
    </row>
    <row r="18" spans="1:42" ht="16.149999999999999" customHeight="1">
      <c r="B18" s="52"/>
      <c r="C18" s="52"/>
      <c r="D18" s="40"/>
      <c r="E18" s="128"/>
      <c r="F18" s="580"/>
      <c r="G18" s="149"/>
      <c r="H18" s="150"/>
      <c r="I18" s="145"/>
      <c r="J18" s="146"/>
      <c r="K18" s="145"/>
      <c r="L18" s="145"/>
      <c r="M18" s="88"/>
      <c r="N18" s="478"/>
      <c r="O18" s="333"/>
      <c r="P18" s="337"/>
      <c r="Q18" s="337"/>
      <c r="R18" s="337"/>
      <c r="S18" s="737" t="s">
        <v>312</v>
      </c>
      <c r="T18" s="738"/>
      <c r="U18" s="739"/>
      <c r="W18" s="252"/>
      <c r="X18" s="252"/>
      <c r="Y18" s="562"/>
      <c r="Z18" s="562"/>
      <c r="AA18" s="562"/>
      <c r="AB18" s="562"/>
      <c r="AC18" s="562"/>
      <c r="AN18" s="386"/>
    </row>
    <row r="19" spans="1:42" ht="19.149999999999999" customHeight="1">
      <c r="B19" s="432" t="s">
        <v>709</v>
      </c>
      <c r="C19" s="53"/>
      <c r="D19" s="665" t="s">
        <v>184</v>
      </c>
      <c r="E19" s="665" t="s">
        <v>185</v>
      </c>
      <c r="F19" s="150"/>
      <c r="G19" s="150"/>
      <c r="H19" s="150"/>
      <c r="I19" s="145"/>
      <c r="J19" s="147"/>
      <c r="K19" s="148"/>
      <c r="L19" s="148"/>
      <c r="M19" s="92"/>
      <c r="N19" s="480"/>
      <c r="O19" s="337"/>
      <c r="P19" s="337"/>
      <c r="Q19" s="337"/>
      <c r="R19" s="337"/>
      <c r="S19" s="740"/>
      <c r="T19" s="741"/>
      <c r="U19" s="742"/>
      <c r="W19" s="252"/>
      <c r="X19" s="252"/>
      <c r="Y19" s="562"/>
      <c r="Z19" s="562"/>
      <c r="AA19" s="562"/>
      <c r="AB19" s="562"/>
      <c r="AC19" s="562"/>
      <c r="AN19" s="386"/>
    </row>
    <row r="20" spans="1:42" ht="18" customHeight="1" thickBot="1">
      <c r="B20" s="54"/>
      <c r="C20" s="45" t="s">
        <v>0</v>
      </c>
      <c r="D20" s="666"/>
      <c r="E20" s="665"/>
      <c r="F20" s="581"/>
      <c r="G20" s="581"/>
      <c r="H20" s="141"/>
      <c r="I20" s="141"/>
      <c r="J20" s="142"/>
      <c r="K20" s="143"/>
      <c r="L20" s="144"/>
      <c r="M20" s="93"/>
      <c r="N20" s="480"/>
      <c r="O20" s="337"/>
      <c r="P20" s="337"/>
      <c r="Q20" s="337"/>
      <c r="R20" s="337"/>
      <c r="S20" s="504" t="s">
        <v>685</v>
      </c>
      <c r="T20" s="504" t="s">
        <v>686</v>
      </c>
      <c r="U20" s="504" t="s">
        <v>687</v>
      </c>
      <c r="W20" s="252"/>
      <c r="X20" s="252"/>
      <c r="Y20" s="562"/>
      <c r="Z20" s="562"/>
      <c r="AA20" s="562"/>
      <c r="AB20" s="562"/>
      <c r="AC20" s="562"/>
      <c r="AN20" s="386"/>
    </row>
    <row r="21" spans="1:42" ht="22.9" customHeight="1" thickBot="1">
      <c r="A21" s="308" t="str">
        <f>MID(C21,6,4)&amp;RIGHT(C21,6)</f>
        <v>501-MPP200</v>
      </c>
      <c r="B21" s="440" t="s">
        <v>172</v>
      </c>
      <c r="C21" s="437" t="s">
        <v>164</v>
      </c>
      <c r="D21" s="438" t="s">
        <v>176</v>
      </c>
      <c r="E21" s="429">
        <f>Szacunek!I52*WYKON_KALK</f>
        <v>0</v>
      </c>
      <c r="F21" s="431"/>
      <c r="G21" s="411"/>
      <c r="H21" s="532"/>
      <c r="I21" s="533"/>
      <c r="J21" s="534"/>
      <c r="K21" s="535"/>
      <c r="L21" s="536"/>
      <c r="M21" s="94"/>
      <c r="N21" s="475" t="s">
        <v>279</v>
      </c>
      <c r="O21" s="337"/>
      <c r="P21" s="337"/>
      <c r="Q21" s="337"/>
      <c r="R21" s="337"/>
      <c r="S21" s="495"/>
      <c r="T21" s="494">
        <v>67.900000000000006</v>
      </c>
      <c r="U21" s="494">
        <v>86.1</v>
      </c>
      <c r="W21" s="562">
        <f>SUM('ZAMÓWIENIE | WYCENA'!H21:J21)*T21</f>
        <v>0</v>
      </c>
      <c r="X21" s="562">
        <f>SUM('ZAMÓWIENIE | WYCENA'!K21:L21)*U21</f>
        <v>0</v>
      </c>
      <c r="Y21" s="562">
        <f>SUM(V21:X21)</f>
        <v>0</v>
      </c>
      <c r="Z21" s="563">
        <f>VLOOKUP(N21,$A$190:$C$195,3,0)</f>
        <v>0</v>
      </c>
      <c r="AA21" s="562">
        <f>Y21-(Y21*Z21)</f>
        <v>0</v>
      </c>
      <c r="AB21" s="562">
        <f>IF(MID(AN21,13,1)="M",U21,IF(MID(AN21,13,1)="R",T21,S21))*E21</f>
        <v>0</v>
      </c>
      <c r="AC21" s="562">
        <f>AB21-(Z21*AB21)</f>
        <v>0</v>
      </c>
      <c r="AD21" s="161"/>
      <c r="AE21" s="641"/>
      <c r="AN21" s="503" t="str">
        <f>VLOOKUP(A21,mapa!B:I,MATCH('Dane podst. zamówienia'!$A$32,mapa!$B$1:$I$1,0),0)</f>
        <v>3351-501-716R-MPP200</v>
      </c>
      <c r="AO21" s="3"/>
      <c r="AP21" s="3"/>
    </row>
    <row r="22" spans="1:42" ht="22.9" customHeight="1" thickBot="1">
      <c r="A22" s="308" t="str">
        <f>MID(C22,6,4)&amp;RIGHT(C22,6)</f>
        <v>501-MPP100</v>
      </c>
      <c r="B22" s="440" t="s">
        <v>173</v>
      </c>
      <c r="C22" s="437" t="s">
        <v>163</v>
      </c>
      <c r="D22" s="441" t="s">
        <v>36</v>
      </c>
      <c r="E22" s="429">
        <f>Szacunek!I51*WYKON_KALK</f>
        <v>0</v>
      </c>
      <c r="F22" s="431"/>
      <c r="G22" s="411"/>
      <c r="H22" s="532"/>
      <c r="I22" s="533"/>
      <c r="J22" s="534"/>
      <c r="K22" s="535"/>
      <c r="L22" s="536"/>
      <c r="M22" s="94"/>
      <c r="N22" s="475" t="s">
        <v>279</v>
      </c>
      <c r="O22" s="337"/>
      <c r="P22" s="337"/>
      <c r="Q22" s="337"/>
      <c r="R22" s="337"/>
      <c r="S22" s="495"/>
      <c r="T22" s="494">
        <v>37.4</v>
      </c>
      <c r="U22" s="494">
        <v>47.5</v>
      </c>
      <c r="W22" s="562">
        <f>SUM('ZAMÓWIENIE | WYCENA'!H22:J22)*T22</f>
        <v>0</v>
      </c>
      <c r="X22" s="562">
        <f>SUM('ZAMÓWIENIE | WYCENA'!K22:L22)*U22</f>
        <v>0</v>
      </c>
      <c r="Y22" s="562">
        <f>SUM(V22:X22)</f>
        <v>0</v>
      </c>
      <c r="Z22" s="563">
        <f>VLOOKUP(N22,$A$190:$C$195,3,0)</f>
        <v>0</v>
      </c>
      <c r="AA22" s="562">
        <f>Y22-(Y22*Z22)</f>
        <v>0</v>
      </c>
      <c r="AB22" s="562">
        <f>IF(MID(AN22,13,1)="M",U22,IF(MID(AN22,13,1)="R",T22,S22))*E22</f>
        <v>0</v>
      </c>
      <c r="AC22" s="562">
        <f>AB22-(Z22*AB22)</f>
        <v>0</v>
      </c>
      <c r="AD22" s="161"/>
      <c r="AE22" s="357"/>
      <c r="AN22" s="503" t="str">
        <f>VLOOKUP(A22,mapa!B:I,MATCH('Dane podst. zamówienia'!$A$32,mapa!$B$1:$I$1,0),0)</f>
        <v>3351-501-716R-MPP100</v>
      </c>
      <c r="AO22" s="3"/>
      <c r="AP22" s="3"/>
    </row>
    <row r="23" spans="1:42" ht="22.9" customHeight="1" thickBot="1">
      <c r="A23" s="308" t="str">
        <f>MID(C23,6,4)&amp;RIGHT(C23,6)</f>
        <v>501-SPP200</v>
      </c>
      <c r="B23" s="440" t="s">
        <v>174</v>
      </c>
      <c r="C23" s="437" t="s">
        <v>166</v>
      </c>
      <c r="D23" s="441" t="s">
        <v>176</v>
      </c>
      <c r="E23" s="429">
        <f>Szacunek!I50*WYKON_KALK</f>
        <v>0</v>
      </c>
      <c r="F23" s="431"/>
      <c r="G23" s="411"/>
      <c r="H23" s="532"/>
      <c r="I23" s="533"/>
      <c r="J23" s="534"/>
      <c r="K23" s="535"/>
      <c r="L23" s="536"/>
      <c r="M23" s="94"/>
      <c r="N23" s="475" t="s">
        <v>279</v>
      </c>
      <c r="O23" s="337"/>
      <c r="P23" s="337"/>
      <c r="Q23" s="337"/>
      <c r="R23" s="337"/>
      <c r="S23" s="495"/>
      <c r="T23" s="494">
        <v>67.900000000000006</v>
      </c>
      <c r="U23" s="494">
        <v>86.1</v>
      </c>
      <c r="W23" s="562">
        <f>SUM('ZAMÓWIENIE | WYCENA'!H23:J23)*T23</f>
        <v>0</v>
      </c>
      <c r="X23" s="562">
        <f>SUM('ZAMÓWIENIE | WYCENA'!K23:L23)*U23</f>
        <v>0</v>
      </c>
      <c r="Y23" s="562">
        <f>SUM(V23:X23)</f>
        <v>0</v>
      </c>
      <c r="Z23" s="563">
        <f>VLOOKUP(N23,$A$190:$C$195,3,0)</f>
        <v>0</v>
      </c>
      <c r="AA23" s="562">
        <f>Y23-(Y23*Z23)</f>
        <v>0</v>
      </c>
      <c r="AB23" s="562">
        <f>IF(MID(AN23,13,1)="M",U23,IF(MID(AN23,13,1)="R",T23,S23))*E23</f>
        <v>0</v>
      </c>
      <c r="AC23" s="562">
        <f>AB23-(Z23*AB23)</f>
        <v>0</v>
      </c>
      <c r="AD23" s="161"/>
      <c r="AE23" s="357"/>
      <c r="AN23" s="503" t="str">
        <f>VLOOKUP(A23,mapa!B:I,MATCH('Dane podst. zamówienia'!$A$32,mapa!$B$1:$I$1,0),0)</f>
        <v>3351-501-716R-SPP200</v>
      </c>
      <c r="AO23" s="3"/>
      <c r="AP23" s="3"/>
    </row>
    <row r="24" spans="1:42" ht="22.9" customHeight="1" thickBot="1">
      <c r="A24" s="308" t="str">
        <f>MID(C24,6,4)&amp;RIGHT(C24,6)</f>
        <v>501-SPP100</v>
      </c>
      <c r="B24" s="440" t="s">
        <v>175</v>
      </c>
      <c r="C24" s="437" t="s">
        <v>165</v>
      </c>
      <c r="D24" s="441" t="s">
        <v>36</v>
      </c>
      <c r="E24" s="429">
        <f>Szacunek!I49*WYKON_KALK</f>
        <v>0</v>
      </c>
      <c r="F24" s="431"/>
      <c r="G24" s="411"/>
      <c r="H24" s="532"/>
      <c r="I24" s="533"/>
      <c r="J24" s="534"/>
      <c r="K24" s="535"/>
      <c r="L24" s="536"/>
      <c r="M24" s="94"/>
      <c r="N24" s="475" t="s">
        <v>279</v>
      </c>
      <c r="O24" s="337"/>
      <c r="P24" s="337"/>
      <c r="Q24" s="337"/>
      <c r="R24" s="337"/>
      <c r="S24" s="495"/>
      <c r="T24" s="494">
        <v>37.4</v>
      </c>
      <c r="U24" s="494">
        <v>47.5</v>
      </c>
      <c r="W24" s="562">
        <f>SUM('ZAMÓWIENIE | WYCENA'!H24:J24)*T24</f>
        <v>0</v>
      </c>
      <c r="X24" s="562">
        <f>SUM('ZAMÓWIENIE | WYCENA'!K24:L24)*U24</f>
        <v>0</v>
      </c>
      <c r="Y24" s="562">
        <f>SUM(V24:X24)</f>
        <v>0</v>
      </c>
      <c r="Z24" s="563">
        <f>VLOOKUP(N24,$A$190:$C$195,3,0)</f>
        <v>0</v>
      </c>
      <c r="AA24" s="562">
        <f>Y24-(Y24*Z24)</f>
        <v>0</v>
      </c>
      <c r="AB24" s="562">
        <f>IF(MID(AN24,13,1)="M",U24,IF(MID(AN24,13,1)="R",T24,S24))*E24</f>
        <v>0</v>
      </c>
      <c r="AC24" s="562">
        <f>AB24-(Z24*AB24)</f>
        <v>0</v>
      </c>
      <c r="AD24" s="161"/>
      <c r="AE24" s="357"/>
      <c r="AN24" s="503" t="str">
        <f>VLOOKUP(A24,mapa!B:I,MATCH('Dane podst. zamówienia'!$A$32,mapa!$B$1:$I$1,0),0)</f>
        <v>3351-501-716R-SPP100</v>
      </c>
      <c r="AO24" s="3"/>
      <c r="AP24" s="3"/>
    </row>
    <row r="25" spans="1:42" ht="15" customHeight="1">
      <c r="B25" s="682"/>
      <c r="C25" s="682"/>
      <c r="D25" s="53"/>
      <c r="E25" s="4"/>
      <c r="F25" s="53"/>
      <c r="G25" s="53"/>
      <c r="H25" s="53"/>
      <c r="I25" s="39"/>
      <c r="J25" s="51"/>
      <c r="K25" s="51"/>
      <c r="L25" s="51"/>
      <c r="M25" s="92"/>
      <c r="N25" s="480"/>
      <c r="O25" s="337"/>
      <c r="P25" s="337"/>
      <c r="Q25" s="337"/>
      <c r="R25" s="337"/>
      <c r="S25" s="574"/>
      <c r="T25" s="336"/>
      <c r="U25" s="336"/>
      <c r="W25" s="252"/>
      <c r="X25" s="252"/>
      <c r="Y25" s="562"/>
      <c r="Z25" s="562"/>
      <c r="AA25" s="562"/>
      <c r="AB25" s="562"/>
      <c r="AC25" s="562"/>
      <c r="AN25" s="386"/>
    </row>
    <row r="26" spans="1:42" ht="24" customHeight="1">
      <c r="B26" s="432" t="s">
        <v>711</v>
      </c>
      <c r="C26" s="55"/>
      <c r="D26" s="55"/>
      <c r="E26" s="430" t="s">
        <v>299</v>
      </c>
      <c r="F26" s="35"/>
      <c r="G26" s="35"/>
      <c r="H26" s="35"/>
      <c r="I26" s="35"/>
      <c r="J26" s="35"/>
      <c r="K26" s="35"/>
      <c r="L26" s="35"/>
      <c r="M26" s="95"/>
      <c r="N26" s="481"/>
      <c r="O26" s="339"/>
      <c r="P26" s="339"/>
      <c r="Q26" s="339"/>
      <c r="R26" s="339"/>
      <c r="S26" s="338"/>
      <c r="T26" s="338"/>
      <c r="U26" s="338"/>
      <c r="W26" s="562"/>
      <c r="X26" s="562"/>
      <c r="Y26" s="562"/>
      <c r="Z26" s="562"/>
      <c r="AA26" s="562"/>
      <c r="AB26" s="562"/>
      <c r="AC26" s="562"/>
      <c r="AD26" s="161"/>
      <c r="AE26" s="357"/>
      <c r="AN26" s="386"/>
    </row>
    <row r="27" spans="1:42" ht="24.6" customHeight="1">
      <c r="B27" s="668" t="s">
        <v>210</v>
      </c>
      <c r="C27" s="668"/>
      <c r="D27" s="55"/>
      <c r="E27" s="117"/>
      <c r="F27" s="35"/>
      <c r="G27" s="35"/>
      <c r="H27" s="35"/>
      <c r="I27" s="35"/>
      <c r="J27" s="35"/>
      <c r="K27" s="35"/>
      <c r="L27" s="35"/>
      <c r="M27" s="95"/>
      <c r="N27" s="481"/>
      <c r="O27" s="339"/>
      <c r="P27" s="339"/>
      <c r="Q27" s="339"/>
      <c r="R27" s="339"/>
      <c r="S27" s="338"/>
      <c r="T27" s="338"/>
      <c r="U27" s="338"/>
      <c r="W27" s="562"/>
      <c r="X27" s="562"/>
      <c r="Y27" s="562"/>
      <c r="Z27" s="562"/>
      <c r="AA27" s="562"/>
      <c r="AB27" s="562"/>
      <c r="AC27" s="562"/>
      <c r="AD27" s="161"/>
      <c r="AE27" s="357"/>
      <c r="AN27" s="386"/>
    </row>
    <row r="28" spans="1:42" ht="10.5" customHeight="1">
      <c r="B28" s="56"/>
      <c r="C28" s="55"/>
      <c r="D28" s="55"/>
      <c r="E28" s="117"/>
      <c r="F28" s="35"/>
      <c r="G28" s="35"/>
      <c r="H28" s="35"/>
      <c r="I28" s="35"/>
      <c r="J28" s="35"/>
      <c r="K28" s="35"/>
      <c r="L28" s="35"/>
      <c r="M28" s="95"/>
      <c r="N28" s="482"/>
      <c r="O28" s="340"/>
      <c r="P28" s="340"/>
      <c r="Q28" s="340"/>
      <c r="R28" s="340"/>
      <c r="S28" s="338"/>
      <c r="T28" s="338"/>
      <c r="U28" s="338"/>
      <c r="W28" s="564"/>
      <c r="X28" s="562"/>
      <c r="Y28" s="562"/>
      <c r="Z28" s="562"/>
      <c r="AA28" s="562"/>
      <c r="AB28" s="562"/>
      <c r="AC28" s="562"/>
      <c r="AD28" s="161"/>
      <c r="AE28" s="357"/>
      <c r="AN28" s="386"/>
    </row>
    <row r="29" spans="1:42" ht="18" customHeight="1">
      <c r="B29" s="82" t="s">
        <v>780</v>
      </c>
      <c r="C29" s="83"/>
      <c r="D29" s="84"/>
      <c r="E29" s="129"/>
      <c r="F29" s="84"/>
      <c r="G29" s="84"/>
      <c r="H29" s="85"/>
      <c r="I29" s="84"/>
      <c r="J29" s="86"/>
      <c r="K29" s="86"/>
      <c r="L29" s="84"/>
      <c r="M29" s="95"/>
      <c r="N29" s="483"/>
      <c r="O29" s="341"/>
      <c r="P29" s="341"/>
      <c r="Q29" s="341"/>
      <c r="R29" s="341"/>
      <c r="S29" s="338"/>
      <c r="T29" s="338"/>
      <c r="U29" s="338"/>
      <c r="W29" s="565"/>
      <c r="X29" s="562"/>
      <c r="Y29" s="562"/>
      <c r="Z29" s="562"/>
      <c r="AA29" s="562"/>
      <c r="AB29" s="562"/>
      <c r="AC29" s="562"/>
      <c r="AD29" s="161"/>
      <c r="AE29" s="357"/>
      <c r="AN29" s="386"/>
    </row>
    <row r="30" spans="1:42" ht="7.15" customHeight="1">
      <c r="B30" s="55"/>
      <c r="C30" s="55"/>
      <c r="D30" s="665" t="s">
        <v>184</v>
      </c>
      <c r="E30" s="177"/>
      <c r="F30" s="39"/>
      <c r="G30" s="39"/>
      <c r="H30" s="39"/>
      <c r="I30" s="39"/>
      <c r="J30" s="39"/>
      <c r="K30" s="39"/>
      <c r="L30" s="39"/>
      <c r="M30" s="95"/>
      <c r="N30" s="483"/>
      <c r="O30" s="341"/>
      <c r="P30" s="341"/>
      <c r="Q30" s="341"/>
      <c r="R30" s="341"/>
      <c r="S30" s="575"/>
      <c r="T30" s="575"/>
      <c r="U30" s="575"/>
      <c r="W30" s="565"/>
      <c r="X30" s="562"/>
      <c r="Y30" s="562"/>
      <c r="Z30" s="562"/>
      <c r="AA30" s="562"/>
      <c r="AB30" s="562"/>
      <c r="AC30" s="562"/>
      <c r="AD30" s="161"/>
      <c r="AE30" s="357"/>
      <c r="AN30" s="386"/>
    </row>
    <row r="31" spans="1:42" ht="21" customHeight="1" thickBot="1">
      <c r="B31" s="57"/>
      <c r="C31" s="45" t="s">
        <v>0</v>
      </c>
      <c r="D31" s="666"/>
      <c r="E31" s="58" t="s">
        <v>185</v>
      </c>
      <c r="F31" s="541" t="s">
        <v>44</v>
      </c>
      <c r="G31" s="542" t="s">
        <v>93</v>
      </c>
      <c r="H31" s="543" t="s">
        <v>156</v>
      </c>
      <c r="I31" s="46" t="s">
        <v>155</v>
      </c>
      <c r="J31" s="541" t="s">
        <v>154</v>
      </c>
      <c r="K31" s="544" t="s">
        <v>42</v>
      </c>
      <c r="L31" s="543" t="s">
        <v>41</v>
      </c>
      <c r="M31" s="95"/>
      <c r="N31" s="481"/>
      <c r="O31" s="339"/>
      <c r="P31" s="339"/>
      <c r="Q31" s="339"/>
      <c r="R31" s="339"/>
      <c r="S31" s="504" t="s">
        <v>685</v>
      </c>
      <c r="T31" s="504" t="s">
        <v>686</v>
      </c>
      <c r="U31" s="504" t="s">
        <v>687</v>
      </c>
      <c r="W31" s="562"/>
      <c r="X31" s="562"/>
      <c r="Y31" s="562"/>
      <c r="Z31" s="562"/>
      <c r="AA31" s="562"/>
      <c r="AB31" s="562"/>
      <c r="AC31" s="562"/>
      <c r="AD31" s="161"/>
      <c r="AE31" s="357"/>
      <c r="AN31" s="386"/>
    </row>
    <row r="32" spans="1:42" ht="25.5" customHeight="1" thickBot="1">
      <c r="A32" s="308" t="str">
        <f t="shared" ref="A32:A47" si="2">MID(C32,6,4)&amp;RIGHT(C32,6)</f>
        <v>125-BPF000</v>
      </c>
      <c r="B32" s="440" t="s">
        <v>30</v>
      </c>
      <c r="C32" s="437" t="s">
        <v>779</v>
      </c>
      <c r="D32" s="442" t="s">
        <v>34</v>
      </c>
      <c r="E32" s="374">
        <f>VLOOKUP(C32,Szacunek!$B$1:$H$192,7,0)*WYKON_KALK</f>
        <v>0</v>
      </c>
      <c r="F32" s="60"/>
      <c r="G32" s="537"/>
      <c r="H32" s="61"/>
      <c r="I32" s="61"/>
      <c r="J32" s="61"/>
      <c r="K32" s="62"/>
      <c r="L32" s="638"/>
      <c r="M32" s="95"/>
      <c r="N32" s="475" t="s">
        <v>281</v>
      </c>
      <c r="O32" s="339"/>
      <c r="P32" s="339"/>
      <c r="Q32" s="339"/>
      <c r="R32" s="339"/>
      <c r="S32" s="494">
        <v>111</v>
      </c>
      <c r="T32" s="494">
        <v>129</v>
      </c>
      <c r="U32" s="494">
        <v>147</v>
      </c>
      <c r="V32" s="257">
        <f>SUM(F32:G32)*S32</f>
        <v>0</v>
      </c>
      <c r="W32" s="562">
        <f>SUM(H32:J32)*T32</f>
        <v>0</v>
      </c>
      <c r="X32" s="562">
        <f>SUM(K32:L32)*U32</f>
        <v>0</v>
      </c>
      <c r="Y32" s="257">
        <f>SUM(V32:X32)</f>
        <v>0</v>
      </c>
      <c r="Z32" s="563">
        <f>VLOOKUP(N32,$A$190:$C$195,3,0)</f>
        <v>0</v>
      </c>
      <c r="AA32" s="562">
        <f t="shared" ref="AA32:AA47" si="3">Y32-(Y32*Z32)</f>
        <v>0</v>
      </c>
      <c r="AB32" s="562">
        <f t="shared" ref="AB32:AB47" si="4">IF(MID(AN32,13,1)="M",U32,IF(MID(AN32,13,1)="R",T32,S32))*E32</f>
        <v>0</v>
      </c>
      <c r="AC32" s="562">
        <f t="shared" ref="AC32:AC47" si="5">AB32-(Z32*AB32)</f>
        <v>0</v>
      </c>
      <c r="AD32" s="161"/>
      <c r="AE32" s="357"/>
      <c r="AN32" s="503" t="str">
        <f>VLOOKUP(A32,mapa!B:I,MATCH('Dane podst. zamówienia'!$A$32,mapa!$B$1:$I$1,0),0)</f>
        <v>3330-125-716R-BPF000</v>
      </c>
      <c r="AO32" s="3"/>
      <c r="AP32" s="3"/>
    </row>
    <row r="33" spans="1:42" ht="18.75" customHeight="1">
      <c r="B33" s="639"/>
      <c r="C33" s="637"/>
      <c r="D33" s="640"/>
      <c r="E33" s="430" t="s">
        <v>299</v>
      </c>
      <c r="F33" s="301"/>
      <c r="G33" s="301"/>
      <c r="H33" s="301"/>
      <c r="I33" s="301"/>
      <c r="J33" s="301"/>
      <c r="K33" s="183"/>
      <c r="L33" s="183"/>
      <c r="M33" s="95"/>
      <c r="N33" s="339"/>
      <c r="O33" s="339"/>
      <c r="P33" s="339"/>
      <c r="Q33" s="339"/>
      <c r="R33" s="339"/>
      <c r="S33" s="341"/>
      <c r="T33" s="341"/>
      <c r="U33" s="341"/>
      <c r="V33" s="257"/>
      <c r="W33" s="562"/>
      <c r="X33" s="562"/>
      <c r="Y33" s="257"/>
      <c r="Z33" s="563"/>
      <c r="AA33" s="562"/>
      <c r="AB33" s="562"/>
      <c r="AC33" s="562"/>
      <c r="AD33" s="161"/>
      <c r="AE33" s="357"/>
      <c r="AN33" s="4"/>
      <c r="AO33" s="3"/>
      <c r="AP33" s="3"/>
    </row>
    <row r="34" spans="1:42" ht="18" customHeight="1">
      <c r="B34" s="82" t="s">
        <v>781</v>
      </c>
      <c r="C34" s="83"/>
      <c r="D34" s="84"/>
      <c r="E34" s="129"/>
      <c r="F34" s="84"/>
      <c r="G34" s="84"/>
      <c r="H34" s="85"/>
      <c r="I34" s="84"/>
      <c r="J34" s="86"/>
      <c r="K34" s="86"/>
      <c r="L34" s="84"/>
      <c r="M34" s="95"/>
      <c r="N34" s="339"/>
      <c r="O34" s="339"/>
      <c r="P34" s="339"/>
      <c r="Q34" s="339"/>
      <c r="R34" s="339"/>
      <c r="S34" s="4"/>
      <c r="T34" s="4"/>
      <c r="U34" s="4"/>
      <c r="V34" s="257"/>
      <c r="W34" s="562"/>
      <c r="X34" s="562"/>
      <c r="Y34" s="257"/>
      <c r="Z34" s="563"/>
      <c r="AA34" s="562"/>
      <c r="AB34" s="562"/>
      <c r="AC34" s="562"/>
      <c r="AD34" s="161"/>
      <c r="AE34" s="357"/>
      <c r="AN34" s="4"/>
      <c r="AO34" s="3"/>
      <c r="AP34" s="3"/>
    </row>
    <row r="35" spans="1:42" ht="7.15" customHeight="1">
      <c r="B35" s="55"/>
      <c r="C35" s="55"/>
      <c r="D35" s="665" t="s">
        <v>184</v>
      </c>
      <c r="E35" s="177"/>
      <c r="F35" s="39"/>
      <c r="G35" s="39"/>
      <c r="H35" s="39"/>
      <c r="I35" s="39"/>
      <c r="J35" s="39"/>
      <c r="K35" s="39"/>
      <c r="L35" s="39"/>
      <c r="M35" s="95"/>
      <c r="N35" s="483"/>
      <c r="O35" s="341"/>
      <c r="P35" s="341"/>
      <c r="Q35" s="341"/>
      <c r="R35" s="341"/>
      <c r="S35" s="4"/>
      <c r="T35" s="4"/>
      <c r="U35" s="4"/>
      <c r="W35" s="565"/>
      <c r="X35" s="562"/>
      <c r="Y35" s="562"/>
      <c r="Z35" s="562"/>
      <c r="AA35" s="562"/>
      <c r="AB35" s="562"/>
      <c r="AC35" s="562"/>
      <c r="AD35" s="161"/>
      <c r="AE35" s="357"/>
      <c r="AN35" s="4"/>
    </row>
    <row r="36" spans="1:42" ht="25.5" customHeight="1" thickBot="1">
      <c r="B36" s="57"/>
      <c r="C36" s="45" t="s">
        <v>0</v>
      </c>
      <c r="D36" s="666"/>
      <c r="E36" s="58" t="s">
        <v>185</v>
      </c>
      <c r="F36" s="541" t="s">
        <v>44</v>
      </c>
      <c r="G36" s="542" t="s">
        <v>93</v>
      </c>
      <c r="H36" s="543" t="s">
        <v>156</v>
      </c>
      <c r="I36" s="46" t="s">
        <v>155</v>
      </c>
      <c r="J36" s="541" t="s">
        <v>154</v>
      </c>
      <c r="K36" s="544" t="s">
        <v>42</v>
      </c>
      <c r="L36" s="543" t="s">
        <v>41</v>
      </c>
      <c r="M36" s="95"/>
      <c r="N36" s="4"/>
      <c r="O36" s="4"/>
      <c r="P36" s="4"/>
      <c r="Q36" s="4"/>
      <c r="R36" s="4"/>
      <c r="S36" s="4"/>
      <c r="T36" s="4"/>
      <c r="U36" s="4"/>
      <c r="V36" s="257"/>
      <c r="W36" s="562"/>
      <c r="X36" s="562"/>
      <c r="Y36" s="257"/>
      <c r="Z36" s="563"/>
      <c r="AA36" s="562"/>
      <c r="AB36" s="562"/>
      <c r="AC36" s="562"/>
      <c r="AD36" s="161"/>
      <c r="AE36" s="357"/>
      <c r="AN36" s="4"/>
      <c r="AO36" s="3"/>
      <c r="AP36" s="3"/>
    </row>
    <row r="37" spans="1:42" ht="26.25" customHeight="1" thickBot="1">
      <c r="A37" s="308" t="str">
        <f t="shared" si="2"/>
        <v>220-GSR200</v>
      </c>
      <c r="B37" s="440" t="s">
        <v>55</v>
      </c>
      <c r="C37" s="437" t="s">
        <v>43</v>
      </c>
      <c r="D37" s="442" t="s">
        <v>35</v>
      </c>
      <c r="E37" s="374">
        <f>VLOOKUP(C37,Szacunek!$B$1:$H$192,7,0)*WYKON_KALK</f>
        <v>0</v>
      </c>
      <c r="F37" s="60"/>
      <c r="G37" s="537"/>
      <c r="H37" s="61"/>
      <c r="I37" s="61"/>
      <c r="J37" s="61"/>
      <c r="K37" s="62"/>
      <c r="L37" s="390"/>
      <c r="M37" s="95"/>
      <c r="N37" s="475" t="s">
        <v>280</v>
      </c>
      <c r="O37" s="339"/>
      <c r="P37" s="339"/>
      <c r="Q37" s="339"/>
      <c r="R37" s="339"/>
      <c r="S37" s="494">
        <v>59</v>
      </c>
      <c r="T37" s="494">
        <v>59</v>
      </c>
      <c r="U37" s="494">
        <v>69.400000000000006</v>
      </c>
      <c r="V37" s="257">
        <f>SUM(F37:G37)*S37</f>
        <v>0</v>
      </c>
      <c r="W37" s="562">
        <f>SUM(H37:J37)*T37</f>
        <v>0</v>
      </c>
      <c r="X37" s="562">
        <f>SUM(K37:L37)*U37</f>
        <v>0</v>
      </c>
      <c r="Y37" s="257">
        <f>SUM(V37:X37)</f>
        <v>0</v>
      </c>
      <c r="Z37" s="563">
        <f t="shared" ref="Z37:Z47" si="6">VLOOKUP(N37,$A$190:$C$195,3,0)</f>
        <v>0</v>
      </c>
      <c r="AA37" s="562">
        <f>Y37-(Y37*Z37)</f>
        <v>0</v>
      </c>
      <c r="AB37" s="562">
        <f>IF(MID(AN37,13,1)="M",U37,IF(MID(AN37,13,1)="R",T37,S37))*E37</f>
        <v>0</v>
      </c>
      <c r="AC37" s="562">
        <f>AB37-(Z37*AB37)</f>
        <v>0</v>
      </c>
      <c r="AD37" s="161"/>
      <c r="AE37" s="357"/>
      <c r="AN37" s="503" t="str">
        <f>VLOOKUP(A37,mapa!B:I,MATCH('Dane podst. zamówienia'!$A$32,mapa!$B$1:$I$1,0),0)</f>
        <v>3341-220-716R-GSR200</v>
      </c>
      <c r="AO37" s="3"/>
      <c r="AP37" s="3"/>
    </row>
    <row r="38" spans="1:42" ht="26.25" customHeight="1" thickBot="1">
      <c r="A38" s="308" t="str">
        <f t="shared" si="2"/>
        <v>293-GSR200</v>
      </c>
      <c r="B38" s="440" t="s">
        <v>56</v>
      </c>
      <c r="C38" s="437" t="s">
        <v>39</v>
      </c>
      <c r="D38" s="442" t="s">
        <v>35</v>
      </c>
      <c r="E38" s="374">
        <f>VLOOKUP(C38,Szacunek!$B$1:$H$192,7,0)*WYKON_KALK</f>
        <v>0</v>
      </c>
      <c r="F38" s="60"/>
      <c r="G38" s="537"/>
      <c r="H38" s="61"/>
      <c r="I38" s="61"/>
      <c r="J38" s="61"/>
      <c r="K38" s="62"/>
      <c r="L38" s="390"/>
      <c r="M38" s="95"/>
      <c r="N38" s="475" t="s">
        <v>280</v>
      </c>
      <c r="O38" s="339"/>
      <c r="P38" s="339"/>
      <c r="Q38" s="339"/>
      <c r="R38" s="339"/>
      <c r="S38" s="494">
        <v>62.2</v>
      </c>
      <c r="T38" s="494">
        <v>62.2</v>
      </c>
      <c r="U38" s="494">
        <v>73.2</v>
      </c>
      <c r="V38" s="257">
        <f t="shared" ref="V38:V46" si="7">SUM(F38:G38)*S38</f>
        <v>0</v>
      </c>
      <c r="W38" s="562">
        <f t="shared" ref="W38:W46" si="8">SUM(H38:J38)*T38</f>
        <v>0</v>
      </c>
      <c r="X38" s="562">
        <f t="shared" ref="X38:X46" si="9">SUM(K38:L38)*U38</f>
        <v>0</v>
      </c>
      <c r="Y38" s="562">
        <f t="shared" ref="Y38:Y47" si="10">SUM(V38:X38)</f>
        <v>0</v>
      </c>
      <c r="Z38" s="563">
        <f t="shared" si="6"/>
        <v>0</v>
      </c>
      <c r="AA38" s="562">
        <f t="shared" si="3"/>
        <v>0</v>
      </c>
      <c r="AB38" s="562">
        <f t="shared" si="4"/>
        <v>0</v>
      </c>
      <c r="AC38" s="562">
        <f t="shared" si="5"/>
        <v>0</v>
      </c>
      <c r="AD38" s="161"/>
      <c r="AE38" s="357"/>
      <c r="AN38" s="503" t="str">
        <f>VLOOKUP(A38,mapa!B:I,MATCH('Dane podst. zamówienia'!$A$32,mapa!$B$1:$I$1,0),0)</f>
        <v>3341-293-716R-GSR200</v>
      </c>
      <c r="AO38" s="3"/>
      <c r="AP38" s="3"/>
    </row>
    <row r="39" spans="1:42" ht="25.5" customHeight="1" thickBot="1">
      <c r="A39" s="308" t="str">
        <f t="shared" si="2"/>
        <v>000-PSN200</v>
      </c>
      <c r="B39" s="440" t="s">
        <v>57</v>
      </c>
      <c r="C39" s="437" t="s">
        <v>58</v>
      </c>
      <c r="D39" s="441" t="s">
        <v>35</v>
      </c>
      <c r="E39" s="374">
        <f>VLOOKUP(C39,Szacunek!$B$1:$H$192,7,0)*WYKON_KALK</f>
        <v>0</v>
      </c>
      <c r="F39" s="60"/>
      <c r="G39" s="537"/>
      <c r="H39" s="61"/>
      <c r="I39" s="61"/>
      <c r="J39" s="61"/>
      <c r="K39" s="62"/>
      <c r="L39" s="390"/>
      <c r="M39" s="95"/>
      <c r="N39" s="475" t="s">
        <v>280</v>
      </c>
      <c r="O39" s="342"/>
      <c r="P39" s="342"/>
      <c r="Q39" s="342"/>
      <c r="R39" s="342"/>
      <c r="S39" s="494">
        <v>54.3</v>
      </c>
      <c r="T39" s="494">
        <v>54.3</v>
      </c>
      <c r="U39" s="494">
        <v>63.9</v>
      </c>
      <c r="V39" s="257">
        <f t="shared" si="7"/>
        <v>0</v>
      </c>
      <c r="W39" s="562">
        <f t="shared" si="8"/>
        <v>0</v>
      </c>
      <c r="X39" s="562">
        <f t="shared" si="9"/>
        <v>0</v>
      </c>
      <c r="Y39" s="562">
        <f t="shared" si="10"/>
        <v>0</v>
      </c>
      <c r="Z39" s="563">
        <f t="shared" si="6"/>
        <v>0</v>
      </c>
      <c r="AA39" s="562">
        <f t="shared" si="3"/>
        <v>0</v>
      </c>
      <c r="AB39" s="562">
        <f t="shared" si="4"/>
        <v>0</v>
      </c>
      <c r="AC39" s="562">
        <f t="shared" si="5"/>
        <v>0</v>
      </c>
      <c r="AD39" s="161"/>
      <c r="AE39" s="357"/>
      <c r="AN39" s="503" t="str">
        <f>VLOOKUP(A39,mapa!B:I,MATCH('Dane podst. zamówienia'!$A$32,mapa!$B$1:$I$1,0),0)</f>
        <v>3341-000-716R-PSN200</v>
      </c>
      <c r="AO39" s="3"/>
      <c r="AP39" s="3"/>
    </row>
    <row r="40" spans="1:42" ht="25.5" customHeight="1" thickBot="1">
      <c r="A40" s="308" t="str">
        <f t="shared" si="2"/>
        <v>000-PSW200</v>
      </c>
      <c r="B40" s="440" t="s">
        <v>63</v>
      </c>
      <c r="C40" s="437" t="s">
        <v>64</v>
      </c>
      <c r="D40" s="442" t="s">
        <v>35</v>
      </c>
      <c r="E40" s="374">
        <f>VLOOKUP(C40,Szacunek!$B$1:$H$192,7,0)*WYKON_KALK</f>
        <v>0</v>
      </c>
      <c r="F40" s="60"/>
      <c r="G40" s="537"/>
      <c r="H40" s="61"/>
      <c r="I40" s="61"/>
      <c r="J40" s="61"/>
      <c r="K40" s="62"/>
      <c r="L40" s="390"/>
      <c r="M40" s="95"/>
      <c r="N40" s="475" t="s">
        <v>280</v>
      </c>
      <c r="O40" s="342"/>
      <c r="P40" s="342"/>
      <c r="Q40" s="342"/>
      <c r="R40" s="342"/>
      <c r="S40" s="494">
        <v>89.2</v>
      </c>
      <c r="T40" s="494">
        <v>89.2</v>
      </c>
      <c r="U40" s="494">
        <v>104.9</v>
      </c>
      <c r="V40" s="257">
        <f t="shared" si="7"/>
        <v>0</v>
      </c>
      <c r="W40" s="562">
        <f t="shared" si="8"/>
        <v>0</v>
      </c>
      <c r="X40" s="562">
        <f t="shared" si="9"/>
        <v>0</v>
      </c>
      <c r="Y40" s="562">
        <f t="shared" si="10"/>
        <v>0</v>
      </c>
      <c r="Z40" s="563">
        <f t="shared" si="6"/>
        <v>0</v>
      </c>
      <c r="AA40" s="562">
        <f t="shared" si="3"/>
        <v>0</v>
      </c>
      <c r="AB40" s="562">
        <f t="shared" si="4"/>
        <v>0</v>
      </c>
      <c r="AC40" s="562">
        <f t="shared" si="5"/>
        <v>0</v>
      </c>
      <c r="AD40" s="161"/>
      <c r="AE40" s="357"/>
      <c r="AN40" s="503" t="str">
        <f>VLOOKUP(A40,mapa!B:I,MATCH('Dane podst. zamówienia'!$A$32,mapa!$B$1:$I$1,0),0)</f>
        <v>3341-000-716R-PSW200</v>
      </c>
      <c r="AO40" s="3"/>
      <c r="AP40" s="3"/>
    </row>
    <row r="41" spans="1:42" ht="26.25" hidden="1" customHeight="1" thickBot="1">
      <c r="A41" s="308" t="str">
        <f t="shared" si="2"/>
        <v>000-WTA200</v>
      </c>
      <c r="B41" s="440" t="s">
        <v>59</v>
      </c>
      <c r="C41" s="437" t="s">
        <v>48</v>
      </c>
      <c r="D41" s="442" t="s">
        <v>35</v>
      </c>
      <c r="E41" s="374">
        <f>VLOOKUP(C41,Szacunek!$B$1:$H$192,7,0)*WYKON_KALK</f>
        <v>0</v>
      </c>
      <c r="F41" s="60"/>
      <c r="G41" s="537"/>
      <c r="H41" s="61"/>
      <c r="I41" s="61"/>
      <c r="J41" s="61"/>
      <c r="K41" s="62"/>
      <c r="L41" s="390"/>
      <c r="M41" s="95"/>
      <c r="N41" s="475" t="s">
        <v>280</v>
      </c>
      <c r="O41" s="339"/>
      <c r="P41" s="339"/>
      <c r="Q41" s="339"/>
      <c r="R41" s="339"/>
      <c r="S41" s="494">
        <v>50.9</v>
      </c>
      <c r="T41" s="494">
        <v>50.9</v>
      </c>
      <c r="U41" s="494">
        <v>59.9</v>
      </c>
      <c r="V41" s="257">
        <f t="shared" si="7"/>
        <v>0</v>
      </c>
      <c r="W41" s="562">
        <f t="shared" si="8"/>
        <v>0</v>
      </c>
      <c r="X41" s="562">
        <f t="shared" si="9"/>
        <v>0</v>
      </c>
      <c r="Y41" s="562">
        <f t="shared" si="10"/>
        <v>0</v>
      </c>
      <c r="Z41" s="563">
        <f t="shared" si="6"/>
        <v>0</v>
      </c>
      <c r="AA41" s="562">
        <f t="shared" si="3"/>
        <v>0</v>
      </c>
      <c r="AB41" s="562">
        <f t="shared" si="4"/>
        <v>0</v>
      </c>
      <c r="AC41" s="562">
        <f t="shared" si="5"/>
        <v>0</v>
      </c>
      <c r="AD41" s="161"/>
      <c r="AE41" s="357"/>
      <c r="AN41" s="503" t="str">
        <f>VLOOKUP(A41,mapa!B:I,MATCH('Dane podst. zamówienia'!$A$32,mapa!$B$1:$I$1,0),0)</f>
        <v>3341-000-716R-WTA200</v>
      </c>
      <c r="AO41" s="3"/>
      <c r="AP41" s="3"/>
    </row>
    <row r="42" spans="1:42" ht="25.5" customHeight="1" thickBot="1">
      <c r="A42" s="308" t="str">
        <f t="shared" si="2"/>
        <v>220-WTA200</v>
      </c>
      <c r="B42" s="440" t="s">
        <v>108</v>
      </c>
      <c r="C42" s="437" t="s">
        <v>110</v>
      </c>
      <c r="D42" s="442" t="s">
        <v>35</v>
      </c>
      <c r="E42" s="374">
        <f>VLOOKUP(C42,Szacunek!$B$1:$H$192,7,0)*WYKON_KALK</f>
        <v>0</v>
      </c>
      <c r="F42" s="60"/>
      <c r="G42" s="537"/>
      <c r="H42" s="61"/>
      <c r="I42" s="61"/>
      <c r="J42" s="61"/>
      <c r="K42" s="62"/>
      <c r="L42" s="390"/>
      <c r="M42" s="95"/>
      <c r="N42" s="475" t="s">
        <v>280</v>
      </c>
      <c r="O42" s="342"/>
      <c r="P42" s="342"/>
      <c r="Q42" s="342"/>
      <c r="R42" s="342"/>
      <c r="S42" s="494">
        <v>45.5</v>
      </c>
      <c r="T42" s="494">
        <v>45.5</v>
      </c>
      <c r="U42" s="494">
        <v>53.5</v>
      </c>
      <c r="V42" s="257">
        <f t="shared" si="7"/>
        <v>0</v>
      </c>
      <c r="W42" s="562">
        <f t="shared" si="8"/>
        <v>0</v>
      </c>
      <c r="X42" s="562">
        <f t="shared" si="9"/>
        <v>0</v>
      </c>
      <c r="Y42" s="562">
        <f t="shared" si="10"/>
        <v>0</v>
      </c>
      <c r="Z42" s="563">
        <f t="shared" si="6"/>
        <v>0</v>
      </c>
      <c r="AA42" s="562">
        <f t="shared" si="3"/>
        <v>0</v>
      </c>
      <c r="AB42" s="562">
        <f t="shared" si="4"/>
        <v>0</v>
      </c>
      <c r="AC42" s="562">
        <f t="shared" si="5"/>
        <v>0</v>
      </c>
      <c r="AD42" s="161"/>
      <c r="AE42" s="357"/>
      <c r="AN42" s="503" t="str">
        <f>VLOOKUP(A42,mapa!B:I,MATCH('Dane podst. zamówienia'!$A$32,mapa!$B$1:$I$1,0),0)</f>
        <v>3341-220-716R-WTA200</v>
      </c>
      <c r="AO42" s="3"/>
      <c r="AP42" s="3"/>
    </row>
    <row r="43" spans="1:42" ht="25.5" customHeight="1" thickBot="1">
      <c r="A43" s="308" t="str">
        <f t="shared" si="2"/>
        <v>000-WTP200</v>
      </c>
      <c r="B43" s="440" t="s">
        <v>60</v>
      </c>
      <c r="C43" s="437" t="s">
        <v>54</v>
      </c>
      <c r="D43" s="441" t="s">
        <v>35</v>
      </c>
      <c r="E43" s="374">
        <f>VLOOKUP(C43,Szacunek!$B$1:$H$192,7,0)*WYKON_KALK</f>
        <v>0</v>
      </c>
      <c r="F43" s="60"/>
      <c r="G43" s="537"/>
      <c r="H43" s="61"/>
      <c r="I43" s="61"/>
      <c r="J43" s="61"/>
      <c r="K43" s="62"/>
      <c r="L43" s="390"/>
      <c r="M43" s="95"/>
      <c r="N43" s="475" t="s">
        <v>280</v>
      </c>
      <c r="O43" s="342"/>
      <c r="P43" s="342"/>
      <c r="Q43" s="342"/>
      <c r="R43" s="342"/>
      <c r="S43" s="494">
        <v>37.299999999999997</v>
      </c>
      <c r="T43" s="494">
        <v>37.299999999999997</v>
      </c>
      <c r="U43" s="494">
        <v>43.9</v>
      </c>
      <c r="V43" s="257">
        <f t="shared" si="7"/>
        <v>0</v>
      </c>
      <c r="W43" s="562">
        <f t="shared" si="8"/>
        <v>0</v>
      </c>
      <c r="X43" s="562">
        <f t="shared" si="9"/>
        <v>0</v>
      </c>
      <c r="Y43" s="562">
        <f t="shared" si="10"/>
        <v>0</v>
      </c>
      <c r="Z43" s="563">
        <f t="shared" si="6"/>
        <v>0</v>
      </c>
      <c r="AA43" s="562">
        <f t="shared" si="3"/>
        <v>0</v>
      </c>
      <c r="AB43" s="562">
        <f t="shared" si="4"/>
        <v>0</v>
      </c>
      <c r="AC43" s="562">
        <f t="shared" si="5"/>
        <v>0</v>
      </c>
      <c r="AD43" s="161"/>
      <c r="AE43" s="357"/>
      <c r="AN43" s="503" t="str">
        <f>VLOOKUP(A43,mapa!B:I,MATCH('Dane podst. zamówienia'!$A$32,mapa!$B$1:$I$1,0),0)</f>
        <v>3331-000-716R-WTP200</v>
      </c>
      <c r="AO43" s="3"/>
      <c r="AP43" s="3"/>
    </row>
    <row r="44" spans="1:42" ht="25.5" customHeight="1" thickBot="1">
      <c r="A44" s="308" t="str">
        <f t="shared" si="2"/>
        <v>000-LSP027</v>
      </c>
      <c r="B44" s="440" t="s">
        <v>712</v>
      </c>
      <c r="C44" s="437" t="s">
        <v>46</v>
      </c>
      <c r="D44" s="441" t="s">
        <v>52</v>
      </c>
      <c r="E44" s="374">
        <f>VLOOKUP(C44,Szacunek!$B$1:$H$192,7,0)*WYKON_KALK</f>
        <v>0</v>
      </c>
      <c r="F44" s="60"/>
      <c r="G44" s="537"/>
      <c r="H44" s="61"/>
      <c r="I44" s="61"/>
      <c r="J44" s="61"/>
      <c r="K44" s="62"/>
      <c r="L44" s="390"/>
      <c r="M44" s="96"/>
      <c r="N44" s="475" t="s">
        <v>280</v>
      </c>
      <c r="O44" s="342"/>
      <c r="P44" s="342"/>
      <c r="Q44" s="342"/>
      <c r="R44" s="342"/>
      <c r="S44" s="494">
        <v>12.7</v>
      </c>
      <c r="T44" s="494">
        <v>12.7</v>
      </c>
      <c r="U44" s="494">
        <v>14.9</v>
      </c>
      <c r="V44" s="257">
        <f t="shared" si="7"/>
        <v>0</v>
      </c>
      <c r="W44" s="562">
        <f t="shared" si="8"/>
        <v>0</v>
      </c>
      <c r="X44" s="562">
        <f t="shared" si="9"/>
        <v>0</v>
      </c>
      <c r="Y44" s="562">
        <f t="shared" si="10"/>
        <v>0</v>
      </c>
      <c r="Z44" s="563">
        <f t="shared" si="6"/>
        <v>0</v>
      </c>
      <c r="AA44" s="562">
        <f t="shared" si="3"/>
        <v>0</v>
      </c>
      <c r="AB44" s="562">
        <f t="shared" si="4"/>
        <v>0</v>
      </c>
      <c r="AC44" s="562">
        <f t="shared" si="5"/>
        <v>0</v>
      </c>
      <c r="AD44" s="161"/>
      <c r="AE44" s="357"/>
      <c r="AN44" s="503" t="str">
        <f>VLOOKUP(A44,mapa!B:I,MATCH('Dane podst. zamówienia'!$A$32,mapa!$B$1:$I$1,0),0)</f>
        <v>3340-000-716R-LSP027</v>
      </c>
      <c r="AO44" s="3"/>
      <c r="AP44" s="3"/>
    </row>
    <row r="45" spans="1:42" ht="25.5" customHeight="1" thickBot="1">
      <c r="A45" s="308" t="str">
        <f t="shared" si="2"/>
        <v>000-LSP048</v>
      </c>
      <c r="B45" s="440" t="s">
        <v>61</v>
      </c>
      <c r="C45" s="437" t="s">
        <v>40</v>
      </c>
      <c r="D45" s="438" t="s">
        <v>53</v>
      </c>
      <c r="E45" s="374">
        <f>VLOOKUP(C45,Szacunek!$B$1:$H$192,7,0)*WYKON_KALK</f>
        <v>0</v>
      </c>
      <c r="F45" s="60"/>
      <c r="G45" s="537"/>
      <c r="H45" s="61"/>
      <c r="I45" s="61"/>
      <c r="J45" s="61"/>
      <c r="K45" s="62"/>
      <c r="L45" s="390"/>
      <c r="M45" s="96"/>
      <c r="N45" s="475" t="s">
        <v>280</v>
      </c>
      <c r="O45" s="342"/>
      <c r="P45" s="342"/>
      <c r="Q45" s="342"/>
      <c r="R45" s="342"/>
      <c r="S45" s="494">
        <v>16.899999999999999</v>
      </c>
      <c r="T45" s="494">
        <v>16.899999999999999</v>
      </c>
      <c r="U45" s="494">
        <v>19.899999999999999</v>
      </c>
      <c r="V45" s="257">
        <f t="shared" si="7"/>
        <v>0</v>
      </c>
      <c r="W45" s="562">
        <f t="shared" si="8"/>
        <v>0</v>
      </c>
      <c r="X45" s="562">
        <f t="shared" si="9"/>
        <v>0</v>
      </c>
      <c r="Y45" s="562">
        <f t="shared" si="10"/>
        <v>0</v>
      </c>
      <c r="Z45" s="563">
        <f t="shared" si="6"/>
        <v>0</v>
      </c>
      <c r="AA45" s="562">
        <f t="shared" si="3"/>
        <v>0</v>
      </c>
      <c r="AB45" s="562">
        <f t="shared" si="4"/>
        <v>0</v>
      </c>
      <c r="AC45" s="562">
        <f t="shared" si="5"/>
        <v>0</v>
      </c>
      <c r="AD45" s="161"/>
      <c r="AE45" s="357"/>
      <c r="AN45" s="503" t="str">
        <f>VLOOKUP(A45,mapa!B:I,MATCH('Dane podst. zamówienia'!$A$32,mapa!$B$1:$I$1,0),0)</f>
        <v>3340-000-716R-LSP048</v>
      </c>
      <c r="AO45" s="3"/>
      <c r="AP45" s="3"/>
    </row>
    <row r="46" spans="1:42" ht="25.5" customHeight="1" thickBot="1">
      <c r="A46" s="308" t="str">
        <f t="shared" si="2"/>
        <v>000-LSP200</v>
      </c>
      <c r="B46" s="440" t="s">
        <v>105</v>
      </c>
      <c r="C46" s="437" t="s">
        <v>104</v>
      </c>
      <c r="D46" s="442" t="s">
        <v>35</v>
      </c>
      <c r="E46" s="374">
        <f>VLOOKUP(C46,Szacunek!$B$1:$H$192,7,0)*WYKON_KALK</f>
        <v>0</v>
      </c>
      <c r="F46" s="60"/>
      <c r="G46" s="537"/>
      <c r="H46" s="59"/>
      <c r="I46" s="61"/>
      <c r="J46" s="61"/>
      <c r="K46" s="62"/>
      <c r="L46" s="390"/>
      <c r="M46" s="96"/>
      <c r="N46" s="475" t="s">
        <v>280</v>
      </c>
      <c r="O46" s="342"/>
      <c r="P46" s="342"/>
      <c r="Q46" s="342"/>
      <c r="R46" s="342"/>
      <c r="S46" s="494">
        <v>62.8</v>
      </c>
      <c r="T46" s="494">
        <v>62.8</v>
      </c>
      <c r="U46" s="494">
        <v>73.900000000000006</v>
      </c>
      <c r="V46" s="257">
        <f t="shared" si="7"/>
        <v>0</v>
      </c>
      <c r="W46" s="562">
        <f t="shared" si="8"/>
        <v>0</v>
      </c>
      <c r="X46" s="562">
        <f t="shared" si="9"/>
        <v>0</v>
      </c>
      <c r="Y46" s="562">
        <f t="shared" si="10"/>
        <v>0</v>
      </c>
      <c r="Z46" s="563">
        <f t="shared" si="6"/>
        <v>0</v>
      </c>
      <c r="AA46" s="562">
        <f t="shared" si="3"/>
        <v>0</v>
      </c>
      <c r="AB46" s="562">
        <f t="shared" si="4"/>
        <v>0</v>
      </c>
      <c r="AC46" s="562">
        <f t="shared" si="5"/>
        <v>0</v>
      </c>
      <c r="AD46" s="161"/>
      <c r="AE46" s="357"/>
      <c r="AN46" s="503" t="str">
        <f>VLOOKUP(A46,mapa!B:I,MATCH('Dane podst. zamówienia'!$A$32,mapa!$B$1:$I$1,0),0)</f>
        <v>3340-000-716R-LSP200</v>
      </c>
      <c r="AO46" s="3"/>
      <c r="AP46" s="3"/>
    </row>
    <row r="47" spans="1:42" ht="25.5" customHeight="1" thickBot="1">
      <c r="A47" s="308" t="str">
        <f t="shared" si="2"/>
        <v>000-LSE200</v>
      </c>
      <c r="B47" s="440" t="s">
        <v>62</v>
      </c>
      <c r="C47" s="437" t="s">
        <v>47</v>
      </c>
      <c r="D47" s="442" t="s">
        <v>35</v>
      </c>
      <c r="E47" s="374">
        <f>VLOOKUP(C47,Szacunek!$B$1:$H$192,7,0)*WYKON_KALK</f>
        <v>0</v>
      </c>
      <c r="F47" s="411"/>
      <c r="G47" s="538"/>
      <c r="H47" s="431"/>
      <c r="I47" s="411"/>
      <c r="J47" s="539"/>
      <c r="K47" s="62"/>
      <c r="L47" s="390"/>
      <c r="M47" s="96"/>
      <c r="N47" s="475" t="s">
        <v>280</v>
      </c>
      <c r="O47" s="342"/>
      <c r="P47" s="342"/>
      <c r="Q47" s="342"/>
      <c r="R47" s="342"/>
      <c r="S47" s="495"/>
      <c r="T47" s="495"/>
      <c r="U47" s="494">
        <v>89</v>
      </c>
      <c r="V47" s="257">
        <f>SUM(F47:G47)*S47</f>
        <v>0</v>
      </c>
      <c r="W47" s="562">
        <f>SUM(H47:J47)*T47</f>
        <v>0</v>
      </c>
      <c r="X47" s="562">
        <f>SUM(K47:L47)*U47</f>
        <v>0</v>
      </c>
      <c r="Y47" s="562">
        <f t="shared" si="10"/>
        <v>0</v>
      </c>
      <c r="Z47" s="563">
        <f t="shared" si="6"/>
        <v>0</v>
      </c>
      <c r="AA47" s="562">
        <f t="shared" si="3"/>
        <v>0</v>
      </c>
      <c r="AB47" s="562">
        <f t="shared" si="4"/>
        <v>0</v>
      </c>
      <c r="AC47" s="562">
        <f t="shared" si="5"/>
        <v>0</v>
      </c>
      <c r="AD47" s="161"/>
      <c r="AE47" s="357"/>
      <c r="AN47" s="503" t="str">
        <f>VLOOKUP(A47,mapa!B:I,MATCH('Dane podst. zamówienia'!$A$32,mapa!$B$1:$I$1,0),0)</f>
        <v>3340-000-716M-LSE200</v>
      </c>
      <c r="AO47" s="3"/>
      <c r="AP47" s="3"/>
    </row>
    <row r="48" spans="1:42" ht="19.5" customHeight="1">
      <c r="B48" s="64"/>
      <c r="C48" s="65"/>
      <c r="D48" s="58"/>
      <c r="E48" s="430" t="s">
        <v>299</v>
      </c>
      <c r="F48" s="66"/>
      <c r="G48" s="66"/>
      <c r="H48" s="39"/>
      <c r="I48" s="43"/>
      <c r="J48" s="66"/>
      <c r="K48" s="43"/>
      <c r="L48" s="66"/>
      <c r="M48" s="97"/>
      <c r="N48" s="484"/>
      <c r="O48" s="343"/>
      <c r="P48" s="343"/>
      <c r="Q48" s="343"/>
      <c r="R48" s="343"/>
      <c r="S48" s="344"/>
      <c r="T48" s="344"/>
      <c r="U48" s="576"/>
      <c r="V48" s="257"/>
      <c r="W48" s="562"/>
      <c r="X48" s="562"/>
      <c r="Y48" s="562"/>
      <c r="Z48" s="562"/>
      <c r="AA48" s="562"/>
      <c r="AB48" s="562"/>
      <c r="AC48" s="562"/>
      <c r="AD48" s="161"/>
      <c r="AE48" s="357"/>
      <c r="AN48" s="386"/>
      <c r="AO48" s="3"/>
      <c r="AP48" s="3"/>
    </row>
    <row r="49" spans="1:42" ht="18" customHeight="1">
      <c r="B49" s="82" t="s">
        <v>722</v>
      </c>
      <c r="C49" s="83"/>
      <c r="D49" s="84"/>
      <c r="E49" s="129"/>
      <c r="F49" s="84"/>
      <c r="G49" s="84"/>
      <c r="H49" s="85"/>
      <c r="I49" s="84"/>
      <c r="J49" s="86"/>
      <c r="K49" s="86"/>
      <c r="L49" s="84"/>
      <c r="M49" s="95"/>
      <c r="N49" s="483"/>
      <c r="O49" s="341"/>
      <c r="P49" s="341"/>
      <c r="Q49" s="341"/>
      <c r="R49" s="341"/>
      <c r="S49" s="338"/>
      <c r="T49" s="338"/>
      <c r="U49" s="338"/>
      <c r="W49" s="565"/>
      <c r="X49" s="562"/>
      <c r="Y49" s="562"/>
      <c r="Z49" s="562"/>
      <c r="AA49" s="562"/>
      <c r="AB49" s="562"/>
      <c r="AC49" s="562"/>
      <c r="AD49" s="161"/>
      <c r="AE49" s="357"/>
      <c r="AN49" s="386"/>
      <c r="AO49" s="3"/>
      <c r="AP49" s="3"/>
    </row>
    <row r="50" spans="1:42" ht="6.6" customHeight="1">
      <c r="B50" s="64"/>
      <c r="C50" s="65"/>
      <c r="D50" s="665" t="s">
        <v>184</v>
      </c>
      <c r="E50" s="58"/>
      <c r="F50" s="66"/>
      <c r="G50" s="66"/>
      <c r="H50" s="39"/>
      <c r="I50" s="43"/>
      <c r="J50" s="66"/>
      <c r="K50" s="43"/>
      <c r="L50" s="66"/>
      <c r="M50" s="97"/>
      <c r="N50" s="484"/>
      <c r="O50" s="343"/>
      <c r="P50" s="343"/>
      <c r="Q50" s="343"/>
      <c r="R50" s="343"/>
      <c r="S50" s="345"/>
      <c r="T50" s="345"/>
      <c r="U50" s="577"/>
      <c r="V50" s="257"/>
      <c r="W50" s="562"/>
      <c r="X50" s="562"/>
      <c r="Y50" s="562"/>
      <c r="Z50" s="562"/>
      <c r="AA50" s="562"/>
      <c r="AB50" s="562"/>
      <c r="AC50" s="562"/>
      <c r="AD50" s="161"/>
      <c r="AE50" s="357"/>
      <c r="AN50" s="386"/>
      <c r="AO50" s="3"/>
      <c r="AP50" s="3"/>
    </row>
    <row r="51" spans="1:42" ht="22.15" customHeight="1" thickBot="1">
      <c r="B51" s="57"/>
      <c r="C51" s="45" t="s">
        <v>0</v>
      </c>
      <c r="D51" s="666"/>
      <c r="E51" s="376" t="s">
        <v>185</v>
      </c>
      <c r="F51" s="541" t="s">
        <v>44</v>
      </c>
      <c r="G51" s="542" t="s">
        <v>93</v>
      </c>
      <c r="H51" s="543" t="s">
        <v>156</v>
      </c>
      <c r="I51" s="46" t="s">
        <v>155</v>
      </c>
      <c r="J51" s="541" t="s">
        <v>154</v>
      </c>
      <c r="K51" s="544" t="s">
        <v>42</v>
      </c>
      <c r="L51" s="543" t="s">
        <v>41</v>
      </c>
      <c r="M51" s="98"/>
      <c r="N51" s="481"/>
      <c r="O51" s="339"/>
      <c r="P51" s="339"/>
      <c r="Q51" s="339"/>
      <c r="R51" s="339"/>
      <c r="S51" s="346"/>
      <c r="T51" s="346"/>
      <c r="U51" s="346"/>
      <c r="W51" s="566"/>
      <c r="X51" s="562"/>
      <c r="Y51" s="562"/>
      <c r="Z51" s="562"/>
      <c r="AA51" s="562"/>
      <c r="AB51" s="562"/>
      <c r="AC51" s="562"/>
      <c r="AD51" s="161"/>
      <c r="AE51" s="357"/>
      <c r="AF51" s="362" t="s">
        <v>44</v>
      </c>
      <c r="AG51" s="363" t="s">
        <v>93</v>
      </c>
      <c r="AH51" s="364" t="s">
        <v>156</v>
      </c>
      <c r="AI51" s="362" t="s">
        <v>155</v>
      </c>
      <c r="AJ51" s="363" t="s">
        <v>154</v>
      </c>
      <c r="AK51" s="364" t="s">
        <v>42</v>
      </c>
      <c r="AL51" s="362" t="s">
        <v>41</v>
      </c>
      <c r="AN51" s="386"/>
      <c r="AO51" s="3"/>
      <c r="AP51" s="3"/>
    </row>
    <row r="52" spans="1:42" ht="22.15" customHeight="1" thickBot="1">
      <c r="A52" s="308" t="str">
        <f t="shared" ref="A52:A57" si="11">MID(C52,6,4)&amp;RIGHT(C52,6)</f>
        <v>000-FZA100</v>
      </c>
      <c r="B52" s="440" t="s">
        <v>37</v>
      </c>
      <c r="C52" s="437" t="s">
        <v>38</v>
      </c>
      <c r="D52" s="442" t="s">
        <v>35</v>
      </c>
      <c r="E52" s="374">
        <f>VLOOKUP(C52,Szacunek!$B$1:$H$192,7,0)*WYKON_KALK</f>
        <v>0</v>
      </c>
      <c r="F52" s="60"/>
      <c r="G52" s="537"/>
      <c r="H52" s="61"/>
      <c r="I52" s="61"/>
      <c r="J52" s="60"/>
      <c r="K52" s="62"/>
      <c r="L52" s="390"/>
      <c r="M52" s="93"/>
      <c r="N52" s="475" t="s">
        <v>280</v>
      </c>
      <c r="O52" s="339"/>
      <c r="P52" s="339"/>
      <c r="Q52" s="339"/>
      <c r="R52" s="339"/>
      <c r="S52" s="662">
        <v>32</v>
      </c>
      <c r="T52" s="663"/>
      <c r="U52" s="664"/>
      <c r="V52" s="257">
        <f t="shared" ref="V52:V57" si="12">SUM(F52:G52)*S52</f>
        <v>0</v>
      </c>
      <c r="W52" s="562">
        <f t="shared" ref="W52:W57" si="13">SUM(H52:J52)*S52</f>
        <v>0</v>
      </c>
      <c r="X52" s="562">
        <f t="shared" ref="X52:X57" si="14">SUM(K52:L52)*S52</f>
        <v>0</v>
      </c>
      <c r="Y52" s="562">
        <f t="shared" ref="Y52:Y57" si="15">SUM(V52:X52)</f>
        <v>0</v>
      </c>
      <c r="Z52" s="563">
        <f t="shared" ref="Z52:Z57" si="16">VLOOKUP(N52,$A$190:$C$195,3,0)</f>
        <v>0</v>
      </c>
      <c r="AA52" s="562">
        <f t="shared" ref="AA52:AA57" si="17">Y52-(Y52*Z52)</f>
        <v>0</v>
      </c>
      <c r="AB52" s="562">
        <f>S52*E52</f>
        <v>0</v>
      </c>
      <c r="AC52" s="562">
        <f t="shared" ref="AC52:AC57" si="18">AB52-(Z52*AB52)</f>
        <v>0</v>
      </c>
      <c r="AD52" s="161"/>
      <c r="AE52" s="357"/>
      <c r="AF52" s="365" t="s">
        <v>44</v>
      </c>
      <c r="AG52" s="366" t="s">
        <v>41</v>
      </c>
      <c r="AH52" s="367" t="s">
        <v>156</v>
      </c>
      <c r="AI52" s="365" t="s">
        <v>41</v>
      </c>
      <c r="AJ52" s="366" t="s">
        <v>154</v>
      </c>
      <c r="AK52" s="368" t="s">
        <v>42</v>
      </c>
      <c r="AL52" s="369" t="s">
        <v>41</v>
      </c>
      <c r="AN52" s="503" t="str">
        <f>VLOOKUP(A52,mapa!B:I,MATCH('Dane podst. zamówienia'!$A$32,mapa!$B$1:$I$1,0),0)</f>
        <v>3320-000-716R-FZA100</v>
      </c>
      <c r="AO52" s="3"/>
      <c r="AP52" s="3"/>
    </row>
    <row r="53" spans="1:42" ht="22.15" customHeight="1" thickBot="1">
      <c r="A53" s="308" t="str">
        <f t="shared" si="11"/>
        <v>035-WTX250</v>
      </c>
      <c r="B53" s="440" t="s">
        <v>107</v>
      </c>
      <c r="C53" s="437" t="s">
        <v>45</v>
      </c>
      <c r="D53" s="442" t="s">
        <v>35</v>
      </c>
      <c r="E53" s="374">
        <f>VLOOKUP(C53,Szacunek!$B$1:$H$192,7,0)*WYKON_KALK</f>
        <v>0</v>
      </c>
      <c r="F53" s="60"/>
      <c r="G53" s="537"/>
      <c r="H53" s="61"/>
      <c r="I53" s="61"/>
      <c r="J53" s="60"/>
      <c r="K53" s="62"/>
      <c r="L53" s="390"/>
      <c r="M53" s="93"/>
      <c r="N53" s="475" t="s">
        <v>280</v>
      </c>
      <c r="O53" s="339"/>
      <c r="P53" s="339"/>
      <c r="Q53" s="339"/>
      <c r="R53" s="339"/>
      <c r="S53" s="662">
        <v>101.9</v>
      </c>
      <c r="T53" s="663"/>
      <c r="U53" s="664"/>
      <c r="V53" s="257">
        <f t="shared" si="12"/>
        <v>0</v>
      </c>
      <c r="W53" s="562">
        <f t="shared" si="13"/>
        <v>0</v>
      </c>
      <c r="X53" s="562">
        <f t="shared" si="14"/>
        <v>0</v>
      </c>
      <c r="Y53" s="562">
        <f t="shared" si="15"/>
        <v>0</v>
      </c>
      <c r="Z53" s="563">
        <f t="shared" si="16"/>
        <v>0</v>
      </c>
      <c r="AA53" s="562">
        <f t="shared" si="17"/>
        <v>0</v>
      </c>
      <c r="AB53" s="562">
        <f t="shared" ref="AB53:AB61" si="19">S53*E53</f>
        <v>0</v>
      </c>
      <c r="AC53" s="562">
        <f t="shared" si="18"/>
        <v>0</v>
      </c>
      <c r="AD53" s="161"/>
      <c r="AE53" s="357"/>
      <c r="AF53" s="365" t="s">
        <v>44</v>
      </c>
      <c r="AG53" s="366" t="s">
        <v>102</v>
      </c>
      <c r="AH53" s="367" t="s">
        <v>44</v>
      </c>
      <c r="AI53" s="365" t="s">
        <v>102</v>
      </c>
      <c r="AJ53" s="366" t="s">
        <v>154</v>
      </c>
      <c r="AK53" s="368" t="s">
        <v>101</v>
      </c>
      <c r="AL53" s="369" t="s">
        <v>102</v>
      </c>
      <c r="AN53" s="503" t="str">
        <f>VLOOKUP(A53,mapa!B:I,MATCH('Dane podst. zamówienia'!$A$32,mapa!$B$1:$I$1,0),0)</f>
        <v>3320-035-716U-WTX250</v>
      </c>
      <c r="AO53" s="3"/>
      <c r="AP53" s="3"/>
    </row>
    <row r="54" spans="1:42" ht="22.15" customHeight="1" thickBot="1">
      <c r="A54" s="308" t="str">
        <f t="shared" si="11"/>
        <v>020-WTZ250</v>
      </c>
      <c r="B54" s="440" t="s">
        <v>178</v>
      </c>
      <c r="C54" s="437" t="s">
        <v>177</v>
      </c>
      <c r="D54" s="442" t="s">
        <v>35</v>
      </c>
      <c r="E54" s="374">
        <f>VLOOKUP(C54,Szacunek!$B$1:$H$192,7,0)*WYKON_KALK</f>
        <v>0</v>
      </c>
      <c r="F54" s="60"/>
      <c r="G54" s="537"/>
      <c r="H54" s="61"/>
      <c r="I54" s="61"/>
      <c r="J54" s="60"/>
      <c r="K54" s="62"/>
      <c r="L54" s="390"/>
      <c r="M54" s="93"/>
      <c r="N54" s="475" t="s">
        <v>280</v>
      </c>
      <c r="O54" s="339"/>
      <c r="P54" s="339"/>
      <c r="Q54" s="339"/>
      <c r="R54" s="339"/>
      <c r="S54" s="662">
        <v>101.9</v>
      </c>
      <c r="T54" s="663"/>
      <c r="U54" s="664"/>
      <c r="V54" s="257">
        <f t="shared" si="12"/>
        <v>0</v>
      </c>
      <c r="W54" s="562">
        <f t="shared" si="13"/>
        <v>0</v>
      </c>
      <c r="X54" s="562">
        <f t="shared" si="14"/>
        <v>0</v>
      </c>
      <c r="Y54" s="562">
        <f t="shared" si="15"/>
        <v>0</v>
      </c>
      <c r="Z54" s="563">
        <f t="shared" si="16"/>
        <v>0</v>
      </c>
      <c r="AA54" s="562">
        <f t="shared" si="17"/>
        <v>0</v>
      </c>
      <c r="AB54" s="562">
        <f t="shared" si="19"/>
        <v>0</v>
      </c>
      <c r="AC54" s="562">
        <f t="shared" si="18"/>
        <v>0</v>
      </c>
      <c r="AD54" s="161"/>
      <c r="AE54" s="357"/>
      <c r="AF54" s="365" t="s">
        <v>44</v>
      </c>
      <c r="AG54" s="366" t="s">
        <v>102</v>
      </c>
      <c r="AH54" s="367" t="s">
        <v>44</v>
      </c>
      <c r="AI54" s="365" t="s">
        <v>102</v>
      </c>
      <c r="AJ54" s="366" t="s">
        <v>154</v>
      </c>
      <c r="AK54" s="368" t="s">
        <v>101</v>
      </c>
      <c r="AL54" s="369" t="s">
        <v>102</v>
      </c>
      <c r="AN54" s="503" t="str">
        <f>VLOOKUP(A54,mapa!B:I,MATCH('Dane podst. zamówienia'!$A$32,mapa!$B$1:$I$1,0),0)</f>
        <v>3320-020-716U-WTZ250</v>
      </c>
      <c r="AO54" s="3"/>
      <c r="AP54" s="3"/>
    </row>
    <row r="55" spans="1:42" ht="22.15" customHeight="1" thickBot="1">
      <c r="A55" s="308" t="str">
        <f t="shared" si="11"/>
        <v>035-WFR250</v>
      </c>
      <c r="B55" s="440" t="s">
        <v>179</v>
      </c>
      <c r="C55" s="437" t="s">
        <v>168</v>
      </c>
      <c r="D55" s="442" t="s">
        <v>35</v>
      </c>
      <c r="E55" s="374">
        <f>VLOOKUP(C55,Szacunek!$B$1:$H$192,7,0)*WYKON_KALK</f>
        <v>0</v>
      </c>
      <c r="F55" s="60"/>
      <c r="G55" s="537"/>
      <c r="H55" s="61"/>
      <c r="I55" s="61"/>
      <c r="J55" s="60"/>
      <c r="K55" s="62"/>
      <c r="L55" s="390"/>
      <c r="M55" s="93"/>
      <c r="N55" s="475" t="s">
        <v>280</v>
      </c>
      <c r="O55" s="339"/>
      <c r="P55" s="339"/>
      <c r="Q55" s="339"/>
      <c r="R55" s="339"/>
      <c r="S55" s="662">
        <v>55.7</v>
      </c>
      <c r="T55" s="663"/>
      <c r="U55" s="664"/>
      <c r="V55" s="257">
        <f t="shared" si="12"/>
        <v>0</v>
      </c>
      <c r="W55" s="562">
        <f t="shared" si="13"/>
        <v>0</v>
      </c>
      <c r="X55" s="562">
        <f t="shared" si="14"/>
        <v>0</v>
      </c>
      <c r="Y55" s="562">
        <f t="shared" si="15"/>
        <v>0</v>
      </c>
      <c r="Z55" s="563">
        <f t="shared" si="16"/>
        <v>0</v>
      </c>
      <c r="AA55" s="562">
        <f t="shared" si="17"/>
        <v>0</v>
      </c>
      <c r="AB55" s="562">
        <f t="shared" si="19"/>
        <v>0</v>
      </c>
      <c r="AC55" s="562">
        <f t="shared" si="18"/>
        <v>0</v>
      </c>
      <c r="AD55" s="161"/>
      <c r="AE55" s="357"/>
      <c r="AF55" s="365" t="s">
        <v>44</v>
      </c>
      <c r="AG55" s="366" t="s">
        <v>102</v>
      </c>
      <c r="AH55" s="367" t="s">
        <v>44</v>
      </c>
      <c r="AI55" s="365" t="s">
        <v>102</v>
      </c>
      <c r="AJ55" s="366" t="s">
        <v>154</v>
      </c>
      <c r="AK55" s="368" t="s">
        <v>101</v>
      </c>
      <c r="AL55" s="369" t="s">
        <v>102</v>
      </c>
      <c r="AN55" s="503" t="str">
        <f>VLOOKUP(A55,mapa!B:I,MATCH('Dane podst. zamówienia'!$A$32,mapa!$B$1:$I$1,0),0)</f>
        <v>3320-035-716U-WFR250</v>
      </c>
      <c r="AO55" s="3"/>
      <c r="AP55" s="3"/>
    </row>
    <row r="56" spans="1:42" ht="22.15" customHeight="1" thickBot="1">
      <c r="A56" s="308" t="str">
        <f t="shared" si="11"/>
        <v>000-RZL000</v>
      </c>
      <c r="B56" s="440" t="s">
        <v>681</v>
      </c>
      <c r="C56" s="437" t="s">
        <v>234</v>
      </c>
      <c r="D56" s="442" t="s">
        <v>35</v>
      </c>
      <c r="E56" s="374">
        <f>VLOOKUP(C56,Szacunek!$B$1:$H$192,7,0)*WYKON_KALK</f>
        <v>0</v>
      </c>
      <c r="F56" s="60"/>
      <c r="G56" s="537"/>
      <c r="H56" s="61"/>
      <c r="I56" s="61"/>
      <c r="J56" s="540"/>
      <c r="K56" s="62"/>
      <c r="L56" s="390"/>
      <c r="M56" s="93"/>
      <c r="N56" s="475" t="s">
        <v>280</v>
      </c>
      <c r="O56" s="339"/>
      <c r="P56" s="339"/>
      <c r="Q56" s="339"/>
      <c r="R56" s="339"/>
      <c r="S56" s="662">
        <v>5.3</v>
      </c>
      <c r="T56" s="663"/>
      <c r="U56" s="664"/>
      <c r="V56" s="257">
        <f t="shared" si="12"/>
        <v>0</v>
      </c>
      <c r="W56" s="562">
        <f t="shared" si="13"/>
        <v>0</v>
      </c>
      <c r="X56" s="562">
        <f t="shared" si="14"/>
        <v>0</v>
      </c>
      <c r="Y56" s="562">
        <f t="shared" si="15"/>
        <v>0</v>
      </c>
      <c r="Z56" s="563">
        <f t="shared" si="16"/>
        <v>0</v>
      </c>
      <c r="AA56" s="562">
        <f t="shared" si="17"/>
        <v>0</v>
      </c>
      <c r="AB56" s="562">
        <f t="shared" si="19"/>
        <v>0</v>
      </c>
      <c r="AC56" s="562">
        <f t="shared" si="18"/>
        <v>0</v>
      </c>
      <c r="AD56" s="161"/>
      <c r="AE56" s="357"/>
      <c r="AF56" s="365" t="s">
        <v>111</v>
      </c>
      <c r="AG56" s="366" t="s">
        <v>112</v>
      </c>
      <c r="AH56" s="367" t="s">
        <v>111</v>
      </c>
      <c r="AI56" s="365" t="s">
        <v>112</v>
      </c>
      <c r="AJ56" s="370"/>
      <c r="AK56" s="368" t="s">
        <v>111</v>
      </c>
      <c r="AL56" s="369" t="s">
        <v>112</v>
      </c>
      <c r="AN56" s="503" t="str">
        <f>VLOOKUP(A56,mapa!B:I,MATCH('Dane podst. zamówienia'!$A$32,mapa!$B$1:$I$1,0),0)</f>
        <v>1110-000-716S-RZL000</v>
      </c>
      <c r="AO56" s="3"/>
      <c r="AP56" s="3"/>
    </row>
    <row r="57" spans="1:42" ht="22.15" customHeight="1" thickBot="1">
      <c r="A57" s="308" t="str">
        <f t="shared" si="11"/>
        <v>000-RZP000</v>
      </c>
      <c r="B57" s="440" t="s">
        <v>682</v>
      </c>
      <c r="C57" s="437" t="s">
        <v>235</v>
      </c>
      <c r="D57" s="442" t="s">
        <v>35</v>
      </c>
      <c r="E57" s="374">
        <f>VLOOKUP(C57,Szacunek!$B$1:$H$192,7,0)*WYKON_KALK</f>
        <v>0</v>
      </c>
      <c r="F57" s="60"/>
      <c r="G57" s="537"/>
      <c r="H57" s="61"/>
      <c r="I57" s="61"/>
      <c r="J57" s="540"/>
      <c r="K57" s="62"/>
      <c r="L57" s="390"/>
      <c r="M57" s="93"/>
      <c r="N57" s="475" t="s">
        <v>280</v>
      </c>
      <c r="O57" s="339"/>
      <c r="P57" s="339"/>
      <c r="Q57" s="339"/>
      <c r="R57" s="339"/>
      <c r="S57" s="662">
        <v>5.3</v>
      </c>
      <c r="T57" s="663"/>
      <c r="U57" s="664"/>
      <c r="V57" s="257">
        <f t="shared" si="12"/>
        <v>0</v>
      </c>
      <c r="W57" s="562">
        <f t="shared" si="13"/>
        <v>0</v>
      </c>
      <c r="X57" s="562">
        <f t="shared" si="14"/>
        <v>0</v>
      </c>
      <c r="Y57" s="562">
        <f t="shared" si="15"/>
        <v>0</v>
      </c>
      <c r="Z57" s="563">
        <f t="shared" si="16"/>
        <v>0</v>
      </c>
      <c r="AA57" s="562">
        <f t="shared" si="17"/>
        <v>0</v>
      </c>
      <c r="AB57" s="562">
        <f t="shared" si="19"/>
        <v>0</v>
      </c>
      <c r="AC57" s="562">
        <f t="shared" si="18"/>
        <v>0</v>
      </c>
      <c r="AD57" s="161"/>
      <c r="AE57" s="357"/>
      <c r="AF57" s="365" t="s">
        <v>111</v>
      </c>
      <c r="AG57" s="366" t="s">
        <v>112</v>
      </c>
      <c r="AH57" s="367" t="s">
        <v>111</v>
      </c>
      <c r="AI57" s="365" t="s">
        <v>112</v>
      </c>
      <c r="AJ57" s="370"/>
      <c r="AK57" s="368" t="s">
        <v>111</v>
      </c>
      <c r="AL57" s="369" t="s">
        <v>112</v>
      </c>
      <c r="AN57" s="503" t="str">
        <f>VLOOKUP(A57,mapa!B:I,MATCH('Dane podst. zamówienia'!$A$32,mapa!$B$1:$I$1,0),0)</f>
        <v>1110-000-716S-RZP000</v>
      </c>
      <c r="AO57" s="3"/>
      <c r="AP57" s="3"/>
    </row>
    <row r="58" spans="1:42" ht="18.75" customHeight="1" thickBot="1">
      <c r="B58" s="728" t="s">
        <v>723</v>
      </c>
      <c r="C58" s="728"/>
      <c r="D58" s="728"/>
      <c r="E58" s="430" t="s">
        <v>299</v>
      </c>
      <c r="F58" s="49"/>
      <c r="G58" s="58"/>
      <c r="H58" s="67"/>
      <c r="I58" s="67"/>
      <c r="J58" s="43"/>
      <c r="K58" s="43"/>
      <c r="L58" s="43"/>
      <c r="M58" s="99"/>
      <c r="N58" s="484"/>
      <c r="O58" s="343"/>
      <c r="P58" s="343"/>
      <c r="Q58" s="343"/>
      <c r="R58" s="343"/>
      <c r="S58" s="347"/>
      <c r="T58" s="347"/>
      <c r="U58" s="347"/>
      <c r="W58" s="566"/>
      <c r="X58" s="562"/>
      <c r="Y58" s="562"/>
      <c r="Z58" s="562"/>
      <c r="AA58" s="562"/>
      <c r="AB58" s="562"/>
      <c r="AC58" s="562"/>
      <c r="AD58" s="161"/>
      <c r="AE58" s="357"/>
      <c r="AN58" s="386"/>
      <c r="AO58" s="3"/>
      <c r="AP58" s="3"/>
    </row>
    <row r="59" spans="1:42" ht="25.5" customHeight="1" thickBot="1">
      <c r="B59" s="440" t="s">
        <v>109</v>
      </c>
      <c r="C59" s="443" t="s">
        <v>106</v>
      </c>
      <c r="D59" s="442" t="s">
        <v>35</v>
      </c>
      <c r="E59" s="374">
        <f>VLOOKUP(C59,Szacunek!$B$1:$H$192,7,0)*WYKON_KALK</f>
        <v>0</v>
      </c>
      <c r="F59" s="672"/>
      <c r="G59" s="673"/>
      <c r="H59" s="673"/>
      <c r="I59" s="673"/>
      <c r="J59" s="673"/>
      <c r="K59" s="673"/>
      <c r="L59" s="673"/>
      <c r="M59" s="96"/>
      <c r="N59" s="475" t="s">
        <v>280</v>
      </c>
      <c r="O59" s="333"/>
      <c r="P59" s="333"/>
      <c r="Q59" s="333"/>
      <c r="R59" s="333"/>
      <c r="S59" s="662">
        <v>89</v>
      </c>
      <c r="T59" s="663"/>
      <c r="U59" s="664"/>
      <c r="W59" s="566"/>
      <c r="X59" s="562">
        <f>SUM(F59)*S59</f>
        <v>0</v>
      </c>
      <c r="Y59" s="562">
        <f>SUM(V59:X59)</f>
        <v>0</v>
      </c>
      <c r="Z59" s="563">
        <f>VLOOKUP(N59,$A$190:$C$195,3,0)</f>
        <v>0</v>
      </c>
      <c r="AA59" s="562">
        <f>Y59-(Y59*Z59)</f>
        <v>0</v>
      </c>
      <c r="AB59" s="562">
        <f t="shared" si="19"/>
        <v>0</v>
      </c>
      <c r="AC59" s="562">
        <f>AB59-(Z59*AB59)</f>
        <v>0</v>
      </c>
      <c r="AD59" s="161"/>
      <c r="AE59" s="357"/>
      <c r="AN59" s="503" t="str">
        <f>C59</f>
        <v>3340-025-000X-WOR500</v>
      </c>
      <c r="AO59" s="3"/>
      <c r="AP59" s="3"/>
    </row>
    <row r="60" spans="1:42" ht="25.9" hidden="1" customHeight="1" thickBot="1">
      <c r="B60" s="440" t="s">
        <v>50</v>
      </c>
      <c r="C60" s="443" t="s">
        <v>51</v>
      </c>
      <c r="D60" s="442" t="s">
        <v>35</v>
      </c>
      <c r="E60" s="374">
        <f>VLOOKUP(C60,Szacunek!$B$1:$H$192,7,0)*WYKON_KALK</f>
        <v>0</v>
      </c>
      <c r="F60" s="672"/>
      <c r="G60" s="673"/>
      <c r="H60" s="673"/>
      <c r="I60" s="673"/>
      <c r="J60" s="673"/>
      <c r="K60" s="673"/>
      <c r="L60" s="673"/>
      <c r="M60" s="96"/>
      <c r="N60" s="475" t="s">
        <v>280</v>
      </c>
      <c r="O60" s="333"/>
      <c r="P60" s="333"/>
      <c r="Q60" s="333"/>
      <c r="R60" s="333"/>
      <c r="S60" s="662">
        <v>167.5</v>
      </c>
      <c r="T60" s="663"/>
      <c r="U60" s="664"/>
      <c r="W60" s="566"/>
      <c r="X60" s="562">
        <f>SUM(F60)*S60</f>
        <v>0</v>
      </c>
      <c r="Y60" s="562">
        <f>SUM(V60:X60)</f>
        <v>0</v>
      </c>
      <c r="Z60" s="563">
        <f>VLOOKUP(N60,$A$190:$C$195,3,0)</f>
        <v>0</v>
      </c>
      <c r="AA60" s="562">
        <f>Y60-(Y60*Z60)</f>
        <v>0</v>
      </c>
      <c r="AB60" s="562">
        <f t="shared" si="19"/>
        <v>0</v>
      </c>
      <c r="AC60" s="562">
        <f>AB60-(Z60*AB60)</f>
        <v>0</v>
      </c>
      <c r="AD60" s="161"/>
      <c r="AE60" s="357"/>
      <c r="AN60" s="503" t="str">
        <f>C60</f>
        <v>2210-019-000X-WPO1000</v>
      </c>
      <c r="AO60" s="3"/>
      <c r="AP60" s="3"/>
    </row>
    <row r="61" spans="1:42" ht="25.9" customHeight="1" thickBot="1">
      <c r="A61" s="308" t="s">
        <v>595</v>
      </c>
      <c r="B61" s="440" t="s">
        <v>594</v>
      </c>
      <c r="C61" s="443" t="s">
        <v>593</v>
      </c>
      <c r="D61" s="442" t="s">
        <v>35</v>
      </c>
      <c r="E61" s="374">
        <f>VLOOKUP(C61,Szacunek!$B$1:$H$192,7,0)*WYKON_KALK</f>
        <v>0</v>
      </c>
      <c r="F61" s="672"/>
      <c r="G61" s="673"/>
      <c r="H61" s="673"/>
      <c r="I61" s="673"/>
      <c r="J61" s="673"/>
      <c r="K61" s="673"/>
      <c r="L61" s="673"/>
      <c r="M61" s="96"/>
      <c r="N61" s="475" t="s">
        <v>280</v>
      </c>
      <c r="O61" s="333"/>
      <c r="P61" s="333"/>
      <c r="Q61" s="333"/>
      <c r="R61" s="333"/>
      <c r="S61" s="662">
        <v>74.7</v>
      </c>
      <c r="T61" s="663"/>
      <c r="U61" s="664"/>
      <c r="W61" s="566"/>
      <c r="X61" s="562">
        <f>SUM(F61)*S61</f>
        <v>0</v>
      </c>
      <c r="Y61" s="562">
        <f>SUM(V61:X61)</f>
        <v>0</v>
      </c>
      <c r="Z61" s="563">
        <f>VLOOKUP(N61,$A$190:$C$195,3,0)</f>
        <v>0</v>
      </c>
      <c r="AA61" s="562">
        <f>Y61-(Y61*Z61)</f>
        <v>0</v>
      </c>
      <c r="AB61" s="562">
        <f t="shared" si="19"/>
        <v>0</v>
      </c>
      <c r="AC61" s="562">
        <f>AB61-(Z61*AB61)</f>
        <v>0</v>
      </c>
      <c r="AD61" s="161"/>
      <c r="AE61" s="357"/>
      <c r="AN61" s="503" t="str">
        <f>C61</f>
        <v>1000-016-000X-WOS000</v>
      </c>
      <c r="AO61" s="3"/>
      <c r="AP61" s="3"/>
    </row>
    <row r="62" spans="1:42" ht="25.9" customHeight="1">
      <c r="B62" s="176"/>
      <c r="C62" s="182"/>
      <c r="D62" s="178"/>
      <c r="E62" s="430" t="s">
        <v>299</v>
      </c>
      <c r="F62" s="183"/>
      <c r="G62" s="183"/>
      <c r="H62" s="183"/>
      <c r="I62" s="183"/>
      <c r="J62" s="183"/>
      <c r="K62" s="183"/>
      <c r="L62" s="183"/>
      <c r="M62" s="183"/>
      <c r="N62" s="485"/>
      <c r="O62" s="333"/>
      <c r="P62" s="333"/>
      <c r="Q62" s="333"/>
      <c r="R62" s="333"/>
      <c r="S62" s="344"/>
      <c r="T62" s="344"/>
      <c r="U62" s="344"/>
      <c r="W62" s="566"/>
      <c r="X62" s="562"/>
      <c r="Y62" s="562"/>
      <c r="Z62" s="562"/>
      <c r="AA62" s="562"/>
      <c r="AB62" s="562"/>
      <c r="AC62" s="562"/>
      <c r="AD62" s="161"/>
      <c r="AE62" s="357"/>
      <c r="AN62" s="386"/>
      <c r="AO62" s="3"/>
      <c r="AP62" s="3"/>
    </row>
    <row r="63" spans="1:42" ht="25.9" customHeight="1">
      <c r="B63" s="35"/>
      <c r="C63" s="35"/>
      <c r="D63" s="35"/>
      <c r="F63" s="35"/>
      <c r="G63" s="35"/>
      <c r="H63" s="35"/>
      <c r="I63" s="35"/>
      <c r="J63" s="35"/>
      <c r="K63" s="35"/>
      <c r="L63" s="136" t="s">
        <v>747</v>
      </c>
      <c r="M63" s="35"/>
      <c r="N63" s="478"/>
      <c r="O63" s="333"/>
      <c r="P63" s="333"/>
      <c r="Q63" s="333"/>
      <c r="R63" s="333"/>
      <c r="S63" s="345"/>
      <c r="T63" s="345"/>
      <c r="U63" s="345"/>
      <c r="W63" s="566"/>
      <c r="X63" s="562"/>
      <c r="Y63" s="562"/>
      <c r="Z63" s="562"/>
      <c r="AA63" s="562"/>
      <c r="AB63" s="562"/>
      <c r="AC63" s="562"/>
      <c r="AD63" s="161"/>
      <c r="AE63" s="357"/>
      <c r="AN63" s="386"/>
      <c r="AO63" s="3"/>
      <c r="AP63" s="3"/>
    </row>
    <row r="64" spans="1:42" ht="18" customHeight="1">
      <c r="B64" s="444" t="s">
        <v>187</v>
      </c>
      <c r="C64" s="445"/>
      <c r="D64" s="446"/>
      <c r="E64" s="447"/>
      <c r="F64" s="446"/>
      <c r="G64" s="446"/>
      <c r="H64" s="446"/>
      <c r="I64" s="446"/>
      <c r="J64" s="448"/>
      <c r="K64" s="448"/>
      <c r="L64" s="446"/>
      <c r="M64" s="100"/>
      <c r="N64" s="478"/>
      <c r="O64" s="333"/>
      <c r="P64" s="333"/>
      <c r="Q64" s="333"/>
      <c r="R64" s="333"/>
      <c r="S64" s="345"/>
      <c r="T64" s="345"/>
      <c r="U64" s="345"/>
      <c r="W64" s="566"/>
      <c r="X64" s="562"/>
      <c r="Y64" s="562"/>
      <c r="Z64" s="562"/>
      <c r="AA64" s="562"/>
      <c r="AB64" s="562"/>
      <c r="AC64" s="562"/>
      <c r="AD64" s="161"/>
      <c r="AE64" s="357"/>
      <c r="AN64" s="386"/>
      <c r="AO64" s="3"/>
      <c r="AP64" s="3"/>
    </row>
    <row r="65" spans="1:42" ht="11.45" customHeight="1">
      <c r="B65" s="39"/>
      <c r="C65" s="39"/>
      <c r="D65" s="665" t="s">
        <v>184</v>
      </c>
      <c r="E65" s="130"/>
      <c r="F65" s="39"/>
      <c r="G65" s="39"/>
      <c r="H65" s="39"/>
      <c r="I65" s="39"/>
      <c r="J65" s="39"/>
      <c r="K65" s="39"/>
      <c r="L65" s="39"/>
      <c r="M65" s="101"/>
      <c r="N65" s="478"/>
      <c r="O65" s="333"/>
      <c r="P65" s="333"/>
      <c r="Q65" s="333"/>
      <c r="R65" s="333"/>
      <c r="S65" s="345"/>
      <c r="T65" s="345"/>
      <c r="U65" s="345"/>
      <c r="W65" s="566"/>
      <c r="X65" s="562"/>
      <c r="Y65" s="562"/>
      <c r="Z65" s="562"/>
      <c r="AA65" s="562"/>
      <c r="AB65" s="562"/>
      <c r="AC65" s="562"/>
      <c r="AD65" s="161"/>
      <c r="AE65" s="357"/>
      <c r="AN65" s="386"/>
      <c r="AO65" s="3"/>
      <c r="AP65" s="3"/>
    </row>
    <row r="66" spans="1:42" ht="21" customHeight="1" thickBot="1">
      <c r="B66" s="449" t="s">
        <v>204</v>
      </c>
      <c r="C66" s="45" t="s">
        <v>0</v>
      </c>
      <c r="D66" s="666"/>
      <c r="E66" s="375" t="s">
        <v>185</v>
      </c>
      <c r="F66" s="543" t="s">
        <v>44</v>
      </c>
      <c r="G66" s="543" t="s">
        <v>93</v>
      </c>
      <c r="H66" s="545" t="s">
        <v>156</v>
      </c>
      <c r="I66" s="541" t="s">
        <v>155</v>
      </c>
      <c r="J66" s="542" t="s">
        <v>154</v>
      </c>
      <c r="K66" s="544" t="s">
        <v>42</v>
      </c>
      <c r="L66" s="543" t="s">
        <v>41</v>
      </c>
      <c r="M66" s="100"/>
      <c r="N66" s="478"/>
      <c r="O66" s="333"/>
      <c r="P66" s="333"/>
      <c r="Q66" s="333"/>
      <c r="R66" s="333"/>
      <c r="S66" s="348"/>
      <c r="T66" s="348"/>
      <c r="U66" s="348"/>
      <c r="W66" s="566"/>
      <c r="X66" s="562"/>
      <c r="Y66" s="562"/>
      <c r="Z66" s="562"/>
      <c r="AA66" s="562"/>
      <c r="AB66" s="562"/>
      <c r="AC66" s="562"/>
      <c r="AD66" s="161"/>
      <c r="AE66" s="357"/>
      <c r="AN66" s="386"/>
      <c r="AO66" s="3"/>
      <c r="AP66" s="3"/>
    </row>
    <row r="67" spans="1:42" ht="22.15" customHeight="1" thickBot="1">
      <c r="A67" s="308" t="str">
        <f t="shared" ref="A67:A72" si="20">MID(C67,6,4)&amp;RIGHT(C67,6)</f>
        <v>190-RYN400</v>
      </c>
      <c r="B67" s="440" t="s">
        <v>188</v>
      </c>
      <c r="C67" s="437" t="s">
        <v>189</v>
      </c>
      <c r="D67" s="442" t="s">
        <v>134</v>
      </c>
      <c r="E67" s="374">
        <f>VLOOKUP(C67,Szacunek!$B$1:$H$192,7,0)*WYKON_KALK</f>
        <v>0</v>
      </c>
      <c r="F67" s="431"/>
      <c r="G67" s="431"/>
      <c r="H67" s="546"/>
      <c r="I67" s="411"/>
      <c r="J67" s="547"/>
      <c r="K67" s="62"/>
      <c r="L67" s="390"/>
      <c r="M67" s="100"/>
      <c r="N67" s="475" t="s">
        <v>592</v>
      </c>
      <c r="O67" s="333"/>
      <c r="P67" s="333"/>
      <c r="Q67" s="333"/>
      <c r="R67" s="333"/>
      <c r="S67" s="495"/>
      <c r="T67" s="495"/>
      <c r="U67" s="494">
        <v>211.3</v>
      </c>
      <c r="W67" s="566"/>
      <c r="X67" s="562">
        <f t="shared" ref="X67:X72" si="21">SUM(K67:L67)*U67</f>
        <v>0</v>
      </c>
      <c r="Y67" s="562">
        <f t="shared" ref="Y67:Y72" si="22">SUM(V67:X67)</f>
        <v>0</v>
      </c>
      <c r="Z67" s="563">
        <f t="shared" ref="Z67:Z72" si="23">VLOOKUP(N67,$A$190:$C$195,3,0)</f>
        <v>0</v>
      </c>
      <c r="AA67" s="562">
        <f t="shared" ref="AA67:AA72" si="24">Y67-(Y67*Z67)</f>
        <v>0</v>
      </c>
      <c r="AB67" s="562">
        <f t="shared" ref="AB67:AB72" si="25">U67*E67</f>
        <v>0</v>
      </c>
      <c r="AC67" s="562">
        <f t="shared" ref="AC67:AC72" si="26">AB67-(Z67*AB67)</f>
        <v>0</v>
      </c>
      <c r="AD67" s="161"/>
      <c r="AE67" s="357"/>
      <c r="AN67" s="503" t="str">
        <f>VLOOKUP(A67,mapa!B:I,MATCH('Dane podst. zamówienia'!$A$32,mapa!$B$1:$I$1,0),0)</f>
        <v>1111-190-716M-RYN400</v>
      </c>
      <c r="AO67" s="3"/>
      <c r="AP67" s="3"/>
    </row>
    <row r="68" spans="1:42" ht="22.15" customHeight="1" thickBot="1">
      <c r="A68" s="308" t="str">
        <f t="shared" si="20"/>
        <v>190-RYL058</v>
      </c>
      <c r="B68" s="440" t="s">
        <v>190</v>
      </c>
      <c r="C68" s="437" t="s">
        <v>191</v>
      </c>
      <c r="D68" s="442" t="s">
        <v>117</v>
      </c>
      <c r="E68" s="374">
        <f>VLOOKUP(C68,Szacunek!$B$1:$H$192,7,0)*WYKON_KALK</f>
        <v>0</v>
      </c>
      <c r="F68" s="431"/>
      <c r="G68" s="431"/>
      <c r="H68" s="546"/>
      <c r="I68" s="411"/>
      <c r="J68" s="547"/>
      <c r="K68" s="62"/>
      <c r="L68" s="390"/>
      <c r="M68" s="100"/>
      <c r="N68" s="475" t="s">
        <v>592</v>
      </c>
      <c r="O68" s="333"/>
      <c r="P68" s="333"/>
      <c r="Q68" s="333"/>
      <c r="R68" s="333"/>
      <c r="S68" s="495"/>
      <c r="T68" s="495"/>
      <c r="U68" s="494">
        <v>70.5</v>
      </c>
      <c r="W68" s="566"/>
      <c r="X68" s="562">
        <f t="shared" si="21"/>
        <v>0</v>
      </c>
      <c r="Y68" s="562">
        <f t="shared" si="22"/>
        <v>0</v>
      </c>
      <c r="Z68" s="563">
        <f t="shared" si="23"/>
        <v>0</v>
      </c>
      <c r="AA68" s="562">
        <f t="shared" si="24"/>
        <v>0</v>
      </c>
      <c r="AB68" s="562">
        <f t="shared" si="25"/>
        <v>0</v>
      </c>
      <c r="AC68" s="562">
        <f t="shared" si="26"/>
        <v>0</v>
      </c>
      <c r="AD68" s="161"/>
      <c r="AE68" s="357"/>
      <c r="AN68" s="503" t="str">
        <f>VLOOKUP(A68,mapa!B:I,MATCH('Dane podst. zamówienia'!$A$32,mapa!$B$1:$I$1,0),0)</f>
        <v>1111-190-716M-RYL058</v>
      </c>
      <c r="AO68" s="3"/>
      <c r="AP68" s="3"/>
    </row>
    <row r="69" spans="1:42" ht="22.15" customHeight="1" thickBot="1">
      <c r="A69" s="308" t="str">
        <f t="shared" si="20"/>
        <v>190-WSP004</v>
      </c>
      <c r="B69" s="440" t="s">
        <v>192</v>
      </c>
      <c r="C69" s="437" t="s">
        <v>193</v>
      </c>
      <c r="D69" s="442" t="s">
        <v>194</v>
      </c>
      <c r="E69" s="374">
        <f>VLOOKUP(C69,Szacunek!$B$1:$H$192,7,0)*WYKON_KALK</f>
        <v>0</v>
      </c>
      <c r="F69" s="431"/>
      <c r="G69" s="431"/>
      <c r="H69" s="546"/>
      <c r="I69" s="411"/>
      <c r="J69" s="547"/>
      <c r="K69" s="62"/>
      <c r="L69" s="390"/>
      <c r="M69" s="100"/>
      <c r="N69" s="475" t="s">
        <v>592</v>
      </c>
      <c r="O69" s="333"/>
      <c r="P69" s="333"/>
      <c r="Q69" s="333"/>
      <c r="R69" s="333"/>
      <c r="S69" s="495"/>
      <c r="T69" s="495"/>
      <c r="U69" s="494">
        <v>23.1</v>
      </c>
      <c r="W69" s="566"/>
      <c r="X69" s="562">
        <f t="shared" si="21"/>
        <v>0</v>
      </c>
      <c r="Y69" s="562">
        <f t="shared" si="22"/>
        <v>0</v>
      </c>
      <c r="Z69" s="563">
        <f t="shared" si="23"/>
        <v>0</v>
      </c>
      <c r="AA69" s="562">
        <f t="shared" si="24"/>
        <v>0</v>
      </c>
      <c r="AB69" s="562">
        <f t="shared" si="25"/>
        <v>0</v>
      </c>
      <c r="AC69" s="562">
        <f t="shared" si="26"/>
        <v>0</v>
      </c>
      <c r="AD69" s="161"/>
      <c r="AE69" s="357"/>
      <c r="AN69" s="503" t="str">
        <f>VLOOKUP(A69,mapa!B:I,MATCH('Dane podst. zamówienia'!$A$32,mapa!$B$1:$I$1,0),0)</f>
        <v>1111-190-716M-WSP004</v>
      </c>
      <c r="AO69" s="3"/>
      <c r="AP69" s="3"/>
    </row>
    <row r="70" spans="1:42" ht="22.15" customHeight="1" thickBot="1">
      <c r="A70" s="308" t="str">
        <f t="shared" si="20"/>
        <v>190-OPO080</v>
      </c>
      <c r="B70" s="440" t="s">
        <v>195</v>
      </c>
      <c r="C70" s="437" t="s">
        <v>196</v>
      </c>
      <c r="D70" s="442" t="s">
        <v>35</v>
      </c>
      <c r="E70" s="374">
        <f>VLOOKUP(C70,Szacunek!$B$1:$H$192,7,0)*WYKON_KALK</f>
        <v>0</v>
      </c>
      <c r="F70" s="431"/>
      <c r="G70" s="431"/>
      <c r="H70" s="546"/>
      <c r="I70" s="411"/>
      <c r="J70" s="547"/>
      <c r="K70" s="62"/>
      <c r="L70" s="390"/>
      <c r="M70" s="100"/>
      <c r="N70" s="475" t="s">
        <v>592</v>
      </c>
      <c r="O70" s="333"/>
      <c r="P70" s="333"/>
      <c r="Q70" s="333"/>
      <c r="R70" s="333"/>
      <c r="S70" s="495"/>
      <c r="T70" s="495"/>
      <c r="U70" s="494">
        <v>82.7</v>
      </c>
      <c r="W70" s="566"/>
      <c r="X70" s="562">
        <f t="shared" si="21"/>
        <v>0</v>
      </c>
      <c r="Y70" s="562">
        <f t="shared" si="22"/>
        <v>0</v>
      </c>
      <c r="Z70" s="563">
        <f t="shared" si="23"/>
        <v>0</v>
      </c>
      <c r="AA70" s="562">
        <f t="shared" si="24"/>
        <v>0</v>
      </c>
      <c r="AB70" s="562">
        <f t="shared" si="25"/>
        <v>0</v>
      </c>
      <c r="AC70" s="562">
        <f t="shared" si="26"/>
        <v>0</v>
      </c>
      <c r="AD70" s="161"/>
      <c r="AE70" s="357"/>
      <c r="AN70" s="503" t="str">
        <f>VLOOKUP(A70,mapa!B:I,MATCH('Dane podst. zamówienia'!$A$32,mapa!$B$1:$I$1,0),0)</f>
        <v>1111-190-716M-OPO080</v>
      </c>
      <c r="AO70" s="3"/>
      <c r="AP70" s="3"/>
    </row>
    <row r="71" spans="1:42" ht="22.15" hidden="1" customHeight="1" thickBot="1">
      <c r="A71" s="308" t="str">
        <f t="shared" si="20"/>
        <v>190-OPB080</v>
      </c>
      <c r="B71" s="440" t="s">
        <v>605</v>
      </c>
      <c r="C71" s="437" t="s">
        <v>604</v>
      </c>
      <c r="D71" s="442" t="s">
        <v>35</v>
      </c>
      <c r="E71" s="374">
        <f>VLOOKUP(C71,Szacunek!$B$1:$H$192,7,0)*WYKON_KALK</f>
        <v>0</v>
      </c>
      <c r="F71" s="431"/>
      <c r="G71" s="431"/>
      <c r="H71" s="546"/>
      <c r="I71" s="411"/>
      <c r="J71" s="547"/>
      <c r="K71" s="62"/>
      <c r="L71" s="390"/>
      <c r="M71" s="100"/>
      <c r="N71" s="475" t="s">
        <v>279</v>
      </c>
      <c r="O71" s="333"/>
      <c r="P71" s="333"/>
      <c r="Q71" s="333"/>
      <c r="R71" s="333"/>
      <c r="S71" s="495"/>
      <c r="T71" s="495"/>
      <c r="U71" s="494">
        <v>424.5</v>
      </c>
      <c r="W71" s="566"/>
      <c r="X71" s="562">
        <f t="shared" si="21"/>
        <v>0</v>
      </c>
      <c r="Y71" s="562">
        <f t="shared" si="22"/>
        <v>0</v>
      </c>
      <c r="Z71" s="563">
        <f t="shared" si="23"/>
        <v>0</v>
      </c>
      <c r="AA71" s="562">
        <f t="shared" si="24"/>
        <v>0</v>
      </c>
      <c r="AB71" s="562">
        <f t="shared" si="25"/>
        <v>0</v>
      </c>
      <c r="AC71" s="562">
        <f t="shared" si="26"/>
        <v>0</v>
      </c>
      <c r="AD71" s="161"/>
      <c r="AE71" s="357"/>
      <c r="AN71" s="503" t="str">
        <f>VLOOKUP(A71,mapa!B:I,MATCH('Dane podst. zamówienia'!$A$32,mapa!$B$1:$I$1,0),0)</f>
        <v>1111-190-716M-OPB080</v>
      </c>
      <c r="AO71" s="3"/>
      <c r="AP71" s="3"/>
    </row>
    <row r="72" spans="1:42" ht="22.15" customHeight="1" thickBot="1">
      <c r="A72" s="308" t="str">
        <f t="shared" si="20"/>
        <v>190-ZUS000</v>
      </c>
      <c r="B72" s="440" t="s">
        <v>197</v>
      </c>
      <c r="C72" s="437" t="s">
        <v>198</v>
      </c>
      <c r="D72" s="442" t="s">
        <v>199</v>
      </c>
      <c r="E72" s="374">
        <f>VLOOKUP(C72,Szacunek!$B$1:$H$192,7,0)*WYKON_KALK</f>
        <v>0</v>
      </c>
      <c r="F72" s="431"/>
      <c r="G72" s="431"/>
      <c r="H72" s="546"/>
      <c r="I72" s="411"/>
      <c r="J72" s="547"/>
      <c r="K72" s="62"/>
      <c r="L72" s="390"/>
      <c r="M72" s="100"/>
      <c r="N72" s="475" t="s">
        <v>592</v>
      </c>
      <c r="O72" s="333"/>
      <c r="P72" s="333"/>
      <c r="Q72" s="333"/>
      <c r="R72" s="333"/>
      <c r="S72" s="495"/>
      <c r="T72" s="495"/>
      <c r="U72" s="494">
        <v>64.599999999999994</v>
      </c>
      <c r="W72" s="566"/>
      <c r="X72" s="562">
        <f t="shared" si="21"/>
        <v>0</v>
      </c>
      <c r="Y72" s="562">
        <f t="shared" si="22"/>
        <v>0</v>
      </c>
      <c r="Z72" s="563">
        <f t="shared" si="23"/>
        <v>0</v>
      </c>
      <c r="AA72" s="562">
        <f t="shared" si="24"/>
        <v>0</v>
      </c>
      <c r="AB72" s="562">
        <f t="shared" si="25"/>
        <v>0</v>
      </c>
      <c r="AC72" s="562">
        <f t="shared" si="26"/>
        <v>0</v>
      </c>
      <c r="AD72" s="161"/>
      <c r="AE72" s="357"/>
      <c r="AN72" s="503" t="str">
        <f>VLOOKUP(A72,mapa!B:I,MATCH('Dane podst. zamówienia'!$A$32,mapa!$B$1:$I$1,0),0)</f>
        <v>1111-190-716M-ZUS000</v>
      </c>
      <c r="AO72" s="3"/>
      <c r="AP72" s="3"/>
    </row>
    <row r="73" spans="1:42">
      <c r="B73" s="35"/>
      <c r="C73" s="35"/>
      <c r="D73" s="35"/>
      <c r="E73" s="430" t="s">
        <v>299</v>
      </c>
      <c r="F73" s="584"/>
      <c r="G73" s="585"/>
      <c r="H73" s="586"/>
      <c r="I73" s="39"/>
      <c r="J73" s="50"/>
      <c r="K73" s="39"/>
      <c r="L73" s="39"/>
      <c r="M73" s="100"/>
      <c r="N73" s="478"/>
      <c r="O73" s="333"/>
      <c r="P73" s="333"/>
      <c r="Q73" s="333"/>
      <c r="R73" s="333"/>
      <c r="S73" s="578"/>
      <c r="T73" s="578"/>
      <c r="U73" s="578"/>
      <c r="W73" s="566"/>
      <c r="X73" s="562"/>
      <c r="Y73" s="562"/>
      <c r="Z73" s="562"/>
      <c r="AA73" s="562"/>
      <c r="AB73" s="562"/>
      <c r="AC73" s="562"/>
      <c r="AD73" s="161"/>
      <c r="AE73" s="357"/>
      <c r="AN73" s="386"/>
      <c r="AO73" s="3"/>
      <c r="AP73" s="3"/>
    </row>
    <row r="74" spans="1:42" ht="15" customHeight="1" thickBot="1">
      <c r="B74" s="449" t="s">
        <v>205</v>
      </c>
      <c r="C74" s="35"/>
      <c r="D74" s="45"/>
      <c r="F74" s="587"/>
      <c r="G74" s="588"/>
      <c r="H74" s="589"/>
      <c r="I74" s="39"/>
      <c r="J74" s="50"/>
      <c r="K74" s="39"/>
      <c r="L74" s="39"/>
      <c r="M74" s="100"/>
      <c r="N74" s="478"/>
      <c r="O74" s="333"/>
      <c r="P74" s="333"/>
      <c r="Q74" s="333"/>
      <c r="R74" s="333"/>
      <c r="S74" s="504" t="s">
        <v>685</v>
      </c>
      <c r="T74" s="504" t="s">
        <v>686</v>
      </c>
      <c r="U74" s="504" t="s">
        <v>687</v>
      </c>
      <c r="W74" s="566"/>
      <c r="X74" s="562"/>
      <c r="Y74" s="562"/>
      <c r="Z74" s="562"/>
      <c r="AA74" s="562"/>
      <c r="AB74" s="562"/>
      <c r="AC74" s="562"/>
      <c r="AD74" s="161"/>
      <c r="AE74" s="357"/>
      <c r="AN74" s="386"/>
      <c r="AO74" s="3"/>
      <c r="AP74" s="3"/>
    </row>
    <row r="75" spans="1:42" ht="25.9" customHeight="1" thickBot="1">
      <c r="A75" s="308" t="str">
        <f>MID(C75,6,4)&amp;RIGHT(C75,6)</f>
        <v>000-POS200</v>
      </c>
      <c r="B75" s="440" t="s">
        <v>200</v>
      </c>
      <c r="C75" s="437" t="s">
        <v>206</v>
      </c>
      <c r="D75" s="442" t="s">
        <v>134</v>
      </c>
      <c r="E75" s="374">
        <f>VLOOKUP(C75,Szacunek!$B$1:$H$192,7,0)*WYKON_KALK</f>
        <v>0</v>
      </c>
      <c r="F75" s="59"/>
      <c r="G75" s="60"/>
      <c r="H75" s="548"/>
      <c r="I75" s="60"/>
      <c r="J75" s="537"/>
      <c r="K75" s="62"/>
      <c r="L75" s="390"/>
      <c r="M75" s="100"/>
      <c r="N75" s="475" t="s">
        <v>592</v>
      </c>
      <c r="O75" s="333"/>
      <c r="P75" s="333"/>
      <c r="Q75" s="333"/>
      <c r="R75" s="333"/>
      <c r="S75" s="494">
        <v>49.2</v>
      </c>
      <c r="T75" s="494">
        <v>49.2</v>
      </c>
      <c r="U75" s="494">
        <v>54.7</v>
      </c>
      <c r="V75" s="256">
        <f>SUM(F75:G75)*S75</f>
        <v>0</v>
      </c>
      <c r="W75" s="562">
        <f>SUM(H75:J75)*T75</f>
        <v>0</v>
      </c>
      <c r="X75" s="562">
        <f>SUM(K75:L75)*U75</f>
        <v>0</v>
      </c>
      <c r="Y75" s="562">
        <f>SUM(V75:X75)</f>
        <v>0</v>
      </c>
      <c r="Z75" s="563">
        <f>VLOOKUP(N75,$A$190:$C$195,3,0)</f>
        <v>0</v>
      </c>
      <c r="AA75" s="562">
        <f>Y75-(Y75*Z75)</f>
        <v>0</v>
      </c>
      <c r="AB75" s="562">
        <f>IF(MID(AN75,13,1)="M",U75,IF(MID(AN75,13,1)="R",T75,S75))*E75</f>
        <v>0</v>
      </c>
      <c r="AC75" s="562">
        <f>AB75-(Z75*AB75)</f>
        <v>0</v>
      </c>
      <c r="AD75" s="161"/>
      <c r="AE75" s="357"/>
      <c r="AN75" s="503" t="str">
        <f>VLOOKUP(A75,mapa!B:I,MATCH('Dane podst. zamówienia'!$A$32,mapa!$B$1:$I$1,0),0)</f>
        <v>1110-000-716R-POS200</v>
      </c>
      <c r="AO75" s="3"/>
      <c r="AP75" s="3"/>
    </row>
    <row r="76" spans="1:42" ht="25.9" customHeight="1" thickBot="1">
      <c r="A76" s="308" t="str">
        <f>MID(C76,6,4)&amp;RIGHT(C76,6)</f>
        <v>000-PON200</v>
      </c>
      <c r="B76" s="440" t="s">
        <v>201</v>
      </c>
      <c r="C76" s="437" t="s">
        <v>207</v>
      </c>
      <c r="D76" s="442" t="s">
        <v>117</v>
      </c>
      <c r="E76" s="374">
        <f>VLOOKUP(C76,Szacunek!$B$1:$H$192,7,0)*WYKON_KALK</f>
        <v>0</v>
      </c>
      <c r="F76" s="59"/>
      <c r="G76" s="60"/>
      <c r="H76" s="548"/>
      <c r="I76" s="60"/>
      <c r="J76" s="537"/>
      <c r="K76" s="62"/>
      <c r="L76" s="390"/>
      <c r="M76" s="100"/>
      <c r="N76" s="475" t="s">
        <v>592</v>
      </c>
      <c r="O76" s="333"/>
      <c r="P76" s="333"/>
      <c r="Q76" s="333"/>
      <c r="R76" s="333"/>
      <c r="S76" s="494">
        <v>26.9</v>
      </c>
      <c r="T76" s="494">
        <v>26.9</v>
      </c>
      <c r="U76" s="494">
        <v>29.9</v>
      </c>
      <c r="V76" s="256">
        <f>SUM(F76:G76)*S76</f>
        <v>0</v>
      </c>
      <c r="W76" s="562">
        <f>SUM(H76:J76)*T76</f>
        <v>0</v>
      </c>
      <c r="X76" s="562">
        <f>SUM(K76:L76)*U76</f>
        <v>0</v>
      </c>
      <c r="Y76" s="562">
        <f>SUM(V76:X76)</f>
        <v>0</v>
      </c>
      <c r="Z76" s="563">
        <f>VLOOKUP(N76,$A$190:$C$195,3,0)</f>
        <v>0</v>
      </c>
      <c r="AA76" s="562">
        <f>Y76-(Y76*Z76)</f>
        <v>0</v>
      </c>
      <c r="AB76" s="562">
        <f>IF(MID(AN76,13,1)="M",U76,IF(MID(AN76,13,1)="R",T76,S76))*E76</f>
        <v>0</v>
      </c>
      <c r="AC76" s="562">
        <f>AB76-(Z76*AB76)</f>
        <v>0</v>
      </c>
      <c r="AD76" s="161"/>
      <c r="AE76" s="357"/>
      <c r="AN76" s="503" t="str">
        <f>VLOOKUP(A76,mapa!B:I,MATCH('Dane podst. zamówienia'!$A$32,mapa!$B$1:$I$1,0),0)</f>
        <v>1110-000-716R-PON200</v>
      </c>
      <c r="AO76" s="3"/>
      <c r="AP76" s="3"/>
    </row>
    <row r="77" spans="1:42" ht="25.9" customHeight="1" thickBot="1">
      <c r="A77" s="308" t="str">
        <f>MID(C77,6,4)&amp;RIGHT(C77,6)</f>
        <v>000-POW200</v>
      </c>
      <c r="B77" s="440" t="s">
        <v>202</v>
      </c>
      <c r="C77" s="437" t="s">
        <v>208</v>
      </c>
      <c r="D77" s="442" t="s">
        <v>194</v>
      </c>
      <c r="E77" s="374">
        <f>VLOOKUP(C77,Szacunek!$B$1:$H$192,7,0)*WYKON_KALK</f>
        <v>0</v>
      </c>
      <c r="F77" s="431"/>
      <c r="G77" s="431"/>
      <c r="H77" s="546"/>
      <c r="I77" s="411"/>
      <c r="J77" s="539"/>
      <c r="K77" s="62"/>
      <c r="L77" s="390"/>
      <c r="M77" s="102"/>
      <c r="N77" s="475" t="s">
        <v>592</v>
      </c>
      <c r="O77" s="333"/>
      <c r="P77" s="333"/>
      <c r="Q77" s="333"/>
      <c r="R77" s="333"/>
      <c r="S77" s="495"/>
      <c r="T77" s="495"/>
      <c r="U77" s="494">
        <v>107.3</v>
      </c>
      <c r="V77" s="256">
        <f>SUM(F77:G77)*S77</f>
        <v>0</v>
      </c>
      <c r="W77" s="562">
        <f>SUM(H77:J77)*T77</f>
        <v>0</v>
      </c>
      <c r="X77" s="562">
        <f>SUM(K77:L77)*U77</f>
        <v>0</v>
      </c>
      <c r="Y77" s="562">
        <f>SUM(V77:X77)</f>
        <v>0</v>
      </c>
      <c r="Z77" s="563">
        <f>VLOOKUP(N77,$A$190:$C$195,3,0)</f>
        <v>0</v>
      </c>
      <c r="AA77" s="562">
        <f>Y77-(Y77*Z77)</f>
        <v>0</v>
      </c>
      <c r="AB77" s="562">
        <f>IF(MID(AN77,13,1)="M",U77,IF(MID(AN77,13,1)="R",T77,S77))*E77</f>
        <v>0</v>
      </c>
      <c r="AC77" s="562">
        <f>AB77-(Z77*AB77)</f>
        <v>0</v>
      </c>
      <c r="AD77" s="161"/>
      <c r="AE77" s="357"/>
      <c r="AN77" s="503" t="str">
        <f>VLOOKUP(A77,mapa!B:I,MATCH('Dane podst. zamówienia'!$A$32,mapa!$B$1:$I$1,0),0)</f>
        <v>1110-000-716M-POW200</v>
      </c>
      <c r="AO77" s="3"/>
      <c r="AP77" s="3"/>
    </row>
    <row r="78" spans="1:42" ht="25.9" customHeight="1" thickBot="1">
      <c r="A78" s="308" t="str">
        <f>MID(C78,6,4)&amp;RIGHT(C78,6)</f>
        <v>000-LOJ200</v>
      </c>
      <c r="B78" s="440" t="s">
        <v>203</v>
      </c>
      <c r="C78" s="437" t="s">
        <v>209</v>
      </c>
      <c r="D78" s="442" t="s">
        <v>35</v>
      </c>
      <c r="E78" s="374">
        <f>VLOOKUP(C78,Szacunek!$B$1:$H$192,7,0)*WYKON_KALK</f>
        <v>0</v>
      </c>
      <c r="F78" s="431"/>
      <c r="G78" s="431"/>
      <c r="H78" s="546"/>
      <c r="I78" s="411"/>
      <c r="J78" s="539"/>
      <c r="K78" s="62"/>
      <c r="L78" s="390"/>
      <c r="M78" s="102"/>
      <c r="N78" s="475" t="s">
        <v>592</v>
      </c>
      <c r="O78" s="333"/>
      <c r="P78" s="333"/>
      <c r="Q78" s="333"/>
      <c r="R78" s="333"/>
      <c r="S78" s="495"/>
      <c r="T78" s="495"/>
      <c r="U78" s="494">
        <v>42.4</v>
      </c>
      <c r="V78" s="256">
        <f>SUM(F78:G78)*S78</f>
        <v>0</v>
      </c>
      <c r="W78" s="562">
        <f>SUM(H78:J78)*T78</f>
        <v>0</v>
      </c>
      <c r="X78" s="562">
        <f>SUM(K78:L78)*U78</f>
        <v>0</v>
      </c>
      <c r="Y78" s="562">
        <f>SUM(V78:X78)</f>
        <v>0</v>
      </c>
      <c r="Z78" s="563">
        <f>VLOOKUP(N78,$A$190:$C$195,3,0)</f>
        <v>0</v>
      </c>
      <c r="AA78" s="562">
        <f>Y78-(Y78*Z78)</f>
        <v>0</v>
      </c>
      <c r="AB78" s="562">
        <f>IF(MID(AN78,13,1)="M",U78,IF(MID(AN78,13,1)="R",T78,S78))*E78</f>
        <v>0</v>
      </c>
      <c r="AC78" s="562">
        <f>AB78-(Z78*AB78)</f>
        <v>0</v>
      </c>
      <c r="AD78" s="161"/>
      <c r="AE78" s="357"/>
      <c r="AN78" s="503" t="str">
        <f>VLOOKUP(A78,mapa!B:I,MATCH('Dane podst. zamówienia'!$A$32,mapa!$B$1:$I$1,0),0)</f>
        <v>1110-000-716M-LOJ200</v>
      </c>
      <c r="AO78" s="3"/>
      <c r="AP78" s="3"/>
    </row>
    <row r="79" spans="1:42">
      <c r="B79" s="35"/>
      <c r="C79" s="35"/>
      <c r="D79" s="35"/>
      <c r="E79" s="430" t="s">
        <v>299</v>
      </c>
      <c r="F79" s="584"/>
      <c r="G79" s="585"/>
      <c r="H79" s="586"/>
      <c r="I79" s="48"/>
      <c r="J79" s="48"/>
      <c r="K79" s="48"/>
      <c r="L79" s="591"/>
      <c r="M79" s="100"/>
      <c r="N79" s="478"/>
      <c r="O79" s="333"/>
      <c r="P79" s="333"/>
      <c r="Q79" s="333"/>
      <c r="R79" s="333"/>
      <c r="S79" s="345"/>
      <c r="T79" s="345"/>
      <c r="U79" s="345"/>
      <c r="W79" s="566"/>
      <c r="X79" s="562"/>
      <c r="Y79" s="562"/>
      <c r="Z79" s="562"/>
      <c r="AA79" s="562"/>
      <c r="AB79" s="562"/>
      <c r="AC79" s="562"/>
      <c r="AD79" s="161"/>
      <c r="AE79" s="357"/>
      <c r="AN79" s="386"/>
      <c r="AO79" s="3"/>
      <c r="AP79" s="3"/>
    </row>
    <row r="80" spans="1:42" s="3" customFormat="1" ht="12.75" hidden="1" customHeight="1">
      <c r="A80" s="262"/>
      <c r="B80" s="304"/>
      <c r="C80" s="65"/>
      <c r="D80" s="58"/>
      <c r="E80" s="126"/>
      <c r="F80" s="40"/>
      <c r="G80" s="47"/>
      <c r="H80" s="53"/>
      <c r="I80" s="39"/>
      <c r="J80" s="39"/>
      <c r="K80" s="39"/>
      <c r="L80" s="592"/>
      <c r="M80" s="103"/>
      <c r="N80" s="484"/>
      <c r="O80" s="343"/>
      <c r="P80" s="343"/>
      <c r="Q80" s="343"/>
      <c r="R80" s="343"/>
      <c r="S80" s="345"/>
      <c r="T80" s="345"/>
      <c r="U80" s="345"/>
      <c r="V80" s="253"/>
      <c r="W80" s="562"/>
      <c r="X80" s="562"/>
      <c r="Y80" s="562"/>
      <c r="Z80" s="562"/>
      <c r="AA80" s="562"/>
      <c r="AB80" s="562"/>
      <c r="AC80" s="562"/>
      <c r="AD80" s="162"/>
      <c r="AE80" s="358"/>
      <c r="AN80" s="386"/>
    </row>
    <row r="81" spans="1:40" s="3" customFormat="1" ht="30.6" hidden="1" customHeight="1" thickBot="1">
      <c r="A81" s="262"/>
      <c r="B81" s="87" t="s">
        <v>626</v>
      </c>
      <c r="C81" s="65"/>
      <c r="D81" s="58"/>
      <c r="E81" s="126"/>
      <c r="F81" s="40"/>
      <c r="G81" s="47"/>
      <c r="H81" s="53"/>
      <c r="I81" s="39"/>
      <c r="J81" s="39"/>
      <c r="K81" s="39"/>
      <c r="L81" s="592"/>
      <c r="M81" s="103"/>
      <c r="N81" s="484"/>
      <c r="O81" s="343"/>
      <c r="P81" s="343"/>
      <c r="Q81" s="343"/>
      <c r="R81" s="343"/>
      <c r="S81" s="345"/>
      <c r="T81" s="345"/>
      <c r="U81" s="345"/>
      <c r="V81" s="253"/>
      <c r="W81" s="562"/>
      <c r="X81" s="562"/>
      <c r="Y81" s="562"/>
      <c r="Z81" s="562"/>
      <c r="AA81" s="562"/>
      <c r="AB81" s="562"/>
      <c r="AC81" s="562"/>
      <c r="AD81" s="162"/>
      <c r="AE81" s="358"/>
      <c r="AN81" s="386"/>
    </row>
    <row r="82" spans="1:40" s="3" customFormat="1" ht="26.45" hidden="1" customHeight="1" thickBot="1">
      <c r="A82" s="262"/>
      <c r="B82" s="34" t="s">
        <v>625</v>
      </c>
      <c r="C82" s="104" t="s">
        <v>624</v>
      </c>
      <c r="D82" s="63"/>
      <c r="E82" s="467">
        <f>VLOOKUP(C82,Szacunek!$B$1:$H$192,7,0)</f>
        <v>0</v>
      </c>
      <c r="F82" s="674"/>
      <c r="G82" s="674"/>
      <c r="H82" s="674"/>
      <c r="I82" s="674"/>
      <c r="J82" s="674"/>
      <c r="K82" s="674"/>
      <c r="L82" s="675"/>
      <c r="M82" s="103"/>
      <c r="N82" s="474" t="s">
        <v>279</v>
      </c>
      <c r="O82" s="343"/>
      <c r="P82" s="343"/>
      <c r="Q82" s="343"/>
      <c r="R82" s="343"/>
      <c r="S82" s="345">
        <v>146.5</v>
      </c>
      <c r="T82" s="345"/>
      <c r="U82" s="345"/>
      <c r="V82" s="253"/>
      <c r="W82" s="562"/>
      <c r="X82" s="562">
        <f>SUM(F82)*S82</f>
        <v>0</v>
      </c>
      <c r="Y82" s="562">
        <f>SUM(V82:X82)</f>
        <v>0</v>
      </c>
      <c r="Z82" s="563">
        <f>VLOOKUP(N82,$A$190:$C$195,3,0)</f>
        <v>0</v>
      </c>
      <c r="AA82" s="562">
        <f>Y82-(Y82*Z82)</f>
        <v>0</v>
      </c>
      <c r="AB82" s="562">
        <f t="shared" ref="AB82:AB88" si="27">S82*E82</f>
        <v>0</v>
      </c>
      <c r="AC82" s="562">
        <f>AB82-(Z82*AB82)</f>
        <v>0</v>
      </c>
      <c r="AD82" s="162"/>
      <c r="AE82" s="358"/>
      <c r="AN82" s="385" t="str">
        <f>C82</f>
        <v>1110-100-716S-MPV020</v>
      </c>
    </row>
    <row r="83" spans="1:40" s="3" customFormat="1" ht="26.45" hidden="1" customHeight="1" thickBot="1">
      <c r="A83" s="262"/>
      <c r="B83" s="306" t="s">
        <v>636</v>
      </c>
      <c r="C83" s="65"/>
      <c r="D83" s="58"/>
      <c r="E83" s="126"/>
      <c r="F83" s="40"/>
      <c r="G83" s="47"/>
      <c r="H83" s="53"/>
      <c r="I83" s="39"/>
      <c r="J83" s="39"/>
      <c r="K83" s="39"/>
      <c r="L83" s="592"/>
      <c r="M83" s="103"/>
      <c r="N83" s="484"/>
      <c r="O83" s="343"/>
      <c r="P83" s="343"/>
      <c r="Q83" s="343"/>
      <c r="R83" s="343"/>
      <c r="S83" s="345"/>
      <c r="T83" s="345"/>
      <c r="U83" s="345"/>
      <c r="V83" s="253"/>
      <c r="W83" s="562"/>
      <c r="X83" s="562"/>
      <c r="Y83" s="562"/>
      <c r="Z83" s="562"/>
      <c r="AA83" s="562"/>
      <c r="AB83" s="562"/>
      <c r="AC83" s="562"/>
      <c r="AD83" s="162"/>
      <c r="AE83" s="358"/>
      <c r="AN83" s="386"/>
    </row>
    <row r="84" spans="1:40" s="3" customFormat="1" ht="26.45" hidden="1" customHeight="1" thickBot="1">
      <c r="A84" s="262"/>
      <c r="B84" s="34" t="s">
        <v>632</v>
      </c>
      <c r="C84" s="104" t="s">
        <v>629</v>
      </c>
      <c r="D84" s="63"/>
      <c r="E84" s="467">
        <f>VLOOKUP(C84,Szacunek!$B$1:$H$192,7,0)</f>
        <v>0</v>
      </c>
      <c r="F84" s="674"/>
      <c r="G84" s="674"/>
      <c r="H84" s="674"/>
      <c r="I84" s="674"/>
      <c r="J84" s="674"/>
      <c r="K84" s="674"/>
      <c r="L84" s="675"/>
      <c r="M84" s="103"/>
      <c r="N84" s="474" t="s">
        <v>279</v>
      </c>
      <c r="O84" s="343"/>
      <c r="P84" s="343"/>
      <c r="Q84" s="343"/>
      <c r="R84" s="343"/>
      <c r="S84" s="345">
        <v>44.4</v>
      </c>
      <c r="T84" s="345"/>
      <c r="U84" s="345"/>
      <c r="V84" s="253"/>
      <c r="W84" s="562"/>
      <c r="X84" s="562">
        <f t="shared" ref="X84:X89" si="28">SUM(F84)*S84</f>
        <v>0</v>
      </c>
      <c r="Y84" s="562">
        <f t="shared" ref="Y84:Y89" si="29">SUM(V84:X84)</f>
        <v>0</v>
      </c>
      <c r="Z84" s="563">
        <f t="shared" ref="Z84:Z89" si="30">VLOOKUP(N84,$A$190:$C$195,3,0)</f>
        <v>0</v>
      </c>
      <c r="AA84" s="562">
        <f t="shared" ref="AA84:AA89" si="31">Y84-(Y84*Z84)</f>
        <v>0</v>
      </c>
      <c r="AB84" s="562">
        <f t="shared" si="27"/>
        <v>0</v>
      </c>
      <c r="AC84" s="562">
        <f t="shared" ref="AC84:AC89" si="32">AB84-(Z84*AB84)</f>
        <v>0</v>
      </c>
      <c r="AD84" s="162"/>
      <c r="AE84" s="358"/>
      <c r="AN84" s="385" t="str">
        <f t="shared" ref="AN84:AN89" si="33">C84</f>
        <v>1110-045-000X-WOD250</v>
      </c>
    </row>
    <row r="85" spans="1:40" s="3" customFormat="1" ht="26.45" hidden="1" customHeight="1" thickBot="1">
      <c r="A85" s="262"/>
      <c r="B85" s="34" t="s">
        <v>633</v>
      </c>
      <c r="C85" s="104" t="s">
        <v>630</v>
      </c>
      <c r="D85" s="63"/>
      <c r="E85" s="467">
        <f>VLOOKUP(C85,Szacunek!$B$1:$H$192,7,0)</f>
        <v>0</v>
      </c>
      <c r="F85" s="674"/>
      <c r="G85" s="674"/>
      <c r="H85" s="674"/>
      <c r="I85" s="674"/>
      <c r="J85" s="674"/>
      <c r="K85" s="674"/>
      <c r="L85" s="675"/>
      <c r="M85" s="103"/>
      <c r="N85" s="474" t="s">
        <v>279</v>
      </c>
      <c r="O85" s="343"/>
      <c r="P85" s="343"/>
      <c r="Q85" s="343"/>
      <c r="R85" s="343"/>
      <c r="S85" s="345">
        <v>146.5</v>
      </c>
      <c r="T85" s="345"/>
      <c r="U85" s="345"/>
      <c r="V85" s="253"/>
      <c r="W85" s="562"/>
      <c r="X85" s="562">
        <f t="shared" si="28"/>
        <v>0</v>
      </c>
      <c r="Y85" s="562">
        <f t="shared" si="29"/>
        <v>0</v>
      </c>
      <c r="Z85" s="563">
        <f t="shared" si="30"/>
        <v>0</v>
      </c>
      <c r="AA85" s="562">
        <f t="shared" si="31"/>
        <v>0</v>
      </c>
      <c r="AB85" s="562">
        <f t="shared" si="27"/>
        <v>0</v>
      </c>
      <c r="AC85" s="562">
        <f t="shared" si="32"/>
        <v>0</v>
      </c>
      <c r="AD85" s="162"/>
      <c r="AE85" s="358"/>
      <c r="AN85" s="385" t="str">
        <f t="shared" si="33"/>
        <v>1110-050-000X-WOD250</v>
      </c>
    </row>
    <row r="86" spans="1:40" s="3" customFormat="1" ht="22.15" hidden="1" customHeight="1" thickBot="1">
      <c r="A86" s="262"/>
      <c r="B86" s="34" t="s">
        <v>634</v>
      </c>
      <c r="C86" s="104" t="s">
        <v>631</v>
      </c>
      <c r="D86" s="63"/>
      <c r="E86" s="467">
        <f>VLOOKUP(C86,Szacunek!$B$1:$H$192,7,0)</f>
        <v>0</v>
      </c>
      <c r="F86" s="674"/>
      <c r="G86" s="674"/>
      <c r="H86" s="674"/>
      <c r="I86" s="674"/>
      <c r="J86" s="674"/>
      <c r="K86" s="674"/>
      <c r="L86" s="675"/>
      <c r="M86" s="103"/>
      <c r="N86" s="474" t="s">
        <v>279</v>
      </c>
      <c r="O86" s="343"/>
      <c r="P86" s="343"/>
      <c r="Q86" s="343"/>
      <c r="R86" s="343"/>
      <c r="S86" s="345">
        <v>146.5</v>
      </c>
      <c r="T86" s="345"/>
      <c r="U86" s="345"/>
      <c r="V86" s="253"/>
      <c r="W86" s="562"/>
      <c r="X86" s="562">
        <f t="shared" si="28"/>
        <v>0</v>
      </c>
      <c r="Y86" s="562">
        <f t="shared" si="29"/>
        <v>0</v>
      </c>
      <c r="Z86" s="563">
        <f t="shared" si="30"/>
        <v>0</v>
      </c>
      <c r="AA86" s="562">
        <f t="shared" si="31"/>
        <v>0</v>
      </c>
      <c r="AB86" s="562">
        <f t="shared" si="27"/>
        <v>0</v>
      </c>
      <c r="AC86" s="562">
        <f t="shared" si="32"/>
        <v>0</v>
      </c>
      <c r="AD86" s="162"/>
      <c r="AE86" s="358"/>
      <c r="AN86" s="385" t="str">
        <f t="shared" si="33"/>
        <v>1110-050-000X-WOP100</v>
      </c>
    </row>
    <row r="87" spans="1:40" s="3" customFormat="1" ht="22.15" hidden="1" customHeight="1" thickBot="1">
      <c r="A87" s="262"/>
      <c r="B87" s="34" t="s">
        <v>640</v>
      </c>
      <c r="C87" s="104" t="s">
        <v>637</v>
      </c>
      <c r="D87" s="63"/>
      <c r="E87" s="467">
        <f>VLOOKUP(C87,Szacunek!$B$1:$H$192,7,0)</f>
        <v>0</v>
      </c>
      <c r="F87" s="674"/>
      <c r="G87" s="674"/>
      <c r="H87" s="674"/>
      <c r="I87" s="674"/>
      <c r="J87" s="674"/>
      <c r="K87" s="674"/>
      <c r="L87" s="675"/>
      <c r="M87" s="103"/>
      <c r="N87" s="474" t="s">
        <v>279</v>
      </c>
      <c r="O87" s="343"/>
      <c r="P87" s="343"/>
      <c r="Q87" s="343"/>
      <c r="R87" s="343"/>
      <c r="S87" s="345">
        <v>146.5</v>
      </c>
      <c r="T87" s="345"/>
      <c r="U87" s="345"/>
      <c r="V87" s="253"/>
      <c r="W87" s="562"/>
      <c r="X87" s="562">
        <f t="shared" si="28"/>
        <v>0</v>
      </c>
      <c r="Y87" s="562">
        <f t="shared" si="29"/>
        <v>0</v>
      </c>
      <c r="Z87" s="563">
        <f t="shared" si="30"/>
        <v>0</v>
      </c>
      <c r="AA87" s="562">
        <f t="shared" si="31"/>
        <v>0</v>
      </c>
      <c r="AB87" s="562">
        <f t="shared" si="27"/>
        <v>0</v>
      </c>
      <c r="AC87" s="562">
        <f t="shared" si="32"/>
        <v>0</v>
      </c>
      <c r="AD87" s="162"/>
      <c r="AE87" s="358"/>
      <c r="AN87" s="385" t="str">
        <f t="shared" si="33"/>
        <v>1110-000-000X-PMB100</v>
      </c>
    </row>
    <row r="88" spans="1:40" s="3" customFormat="1" ht="22.15" hidden="1" customHeight="1" thickBot="1">
      <c r="A88" s="262"/>
      <c r="B88" s="34" t="s">
        <v>641</v>
      </c>
      <c r="C88" s="104" t="s">
        <v>638</v>
      </c>
      <c r="D88" s="63"/>
      <c r="E88" s="467">
        <f>VLOOKUP(C88,Szacunek!$B$1:$H$192,7,0)</f>
        <v>0</v>
      </c>
      <c r="F88" s="674"/>
      <c r="G88" s="674"/>
      <c r="H88" s="674"/>
      <c r="I88" s="674"/>
      <c r="J88" s="674"/>
      <c r="K88" s="674"/>
      <c r="L88" s="675"/>
      <c r="M88" s="103"/>
      <c r="N88" s="474" t="s">
        <v>279</v>
      </c>
      <c r="O88" s="343"/>
      <c r="P88" s="343"/>
      <c r="Q88" s="343"/>
      <c r="R88" s="343"/>
      <c r="S88" s="345">
        <v>146.5</v>
      </c>
      <c r="T88" s="345"/>
      <c r="U88" s="345"/>
      <c r="V88" s="253"/>
      <c r="W88" s="562"/>
      <c r="X88" s="562">
        <f t="shared" si="28"/>
        <v>0</v>
      </c>
      <c r="Y88" s="562">
        <f t="shared" si="29"/>
        <v>0</v>
      </c>
      <c r="Z88" s="563">
        <f t="shared" si="30"/>
        <v>0</v>
      </c>
      <c r="AA88" s="562">
        <f t="shared" si="31"/>
        <v>0</v>
      </c>
      <c r="AB88" s="562">
        <f t="shared" si="27"/>
        <v>0</v>
      </c>
      <c r="AC88" s="562">
        <f t="shared" si="32"/>
        <v>0</v>
      </c>
      <c r="AD88" s="162"/>
      <c r="AE88" s="358"/>
      <c r="AN88" s="385" t="str">
        <f t="shared" si="33"/>
        <v>1110-013-000X-KMG050</v>
      </c>
    </row>
    <row r="89" spans="1:40" s="3" customFormat="1" ht="22.15" hidden="1" customHeight="1" thickBot="1">
      <c r="A89" s="262"/>
      <c r="B89" s="34" t="s">
        <v>642</v>
      </c>
      <c r="C89" s="104" t="s">
        <v>639</v>
      </c>
      <c r="D89" s="63"/>
      <c r="E89" s="467">
        <f>VLOOKUP(C89,Szacunek!$B$1:$H$192,7,0)</f>
        <v>0</v>
      </c>
      <c r="F89" s="674"/>
      <c r="G89" s="674"/>
      <c r="H89" s="674"/>
      <c r="I89" s="674"/>
      <c r="J89" s="674"/>
      <c r="K89" s="674"/>
      <c r="L89" s="675"/>
      <c r="M89" s="103"/>
      <c r="N89" s="474" t="s">
        <v>279</v>
      </c>
      <c r="O89" s="343"/>
      <c r="P89" s="343"/>
      <c r="Q89" s="343"/>
      <c r="R89" s="343"/>
      <c r="S89" s="345">
        <v>146.5</v>
      </c>
      <c r="T89" s="345"/>
      <c r="U89" s="345"/>
      <c r="V89" s="253"/>
      <c r="W89" s="562"/>
      <c r="X89" s="562">
        <f t="shared" si="28"/>
        <v>0</v>
      </c>
      <c r="Y89" s="562">
        <f t="shared" si="29"/>
        <v>0</v>
      </c>
      <c r="Z89" s="563">
        <f t="shared" si="30"/>
        <v>0</v>
      </c>
      <c r="AA89" s="562">
        <f t="shared" si="31"/>
        <v>0</v>
      </c>
      <c r="AB89" s="562">
        <f>S89*E89</f>
        <v>0</v>
      </c>
      <c r="AC89" s="562">
        <f t="shared" si="32"/>
        <v>0</v>
      </c>
      <c r="AD89" s="162"/>
      <c r="AE89" s="358"/>
      <c r="AN89" s="385" t="str">
        <f t="shared" si="33"/>
        <v>1110-004-000X-WKO000</v>
      </c>
    </row>
    <row r="90" spans="1:40" s="3" customFormat="1" ht="28.15" hidden="1" customHeight="1" thickBot="1">
      <c r="A90" s="262"/>
      <c r="B90" s="87" t="s">
        <v>627</v>
      </c>
      <c r="C90" s="65"/>
      <c r="D90" s="58"/>
      <c r="E90" s="126"/>
      <c r="F90" s="40"/>
      <c r="G90" s="47"/>
      <c r="H90" s="53"/>
      <c r="I90" s="39"/>
      <c r="J90" s="39"/>
      <c r="K90" s="39"/>
      <c r="L90" s="592"/>
      <c r="M90" s="103"/>
      <c r="N90" s="484"/>
      <c r="O90" s="343"/>
      <c r="P90" s="343"/>
      <c r="Q90" s="343"/>
      <c r="R90" s="343"/>
      <c r="S90" s="345"/>
      <c r="T90" s="345"/>
      <c r="U90" s="345"/>
      <c r="V90" s="253"/>
      <c r="W90" s="562"/>
      <c r="X90" s="562"/>
      <c r="Y90" s="562"/>
      <c r="Z90" s="562"/>
      <c r="AA90" s="562"/>
      <c r="AB90" s="562"/>
      <c r="AC90" s="562"/>
      <c r="AD90" s="162"/>
      <c r="AE90" s="358"/>
      <c r="AN90" s="386"/>
    </row>
    <row r="91" spans="1:40" s="3" customFormat="1" ht="25.9" hidden="1" customHeight="1" thickBot="1">
      <c r="A91" s="308" t="str">
        <f>MID(C91,6,4)&amp;RIGHT(C91,6)</f>
        <v>000-PSZ200</v>
      </c>
      <c r="B91" s="34" t="s">
        <v>609</v>
      </c>
      <c r="C91" s="104" t="s">
        <v>606</v>
      </c>
      <c r="D91" s="63" t="s">
        <v>134</v>
      </c>
      <c r="E91" s="467">
        <f>VLOOKUP(C91,Szacunek!$B$1:$H$192,7,0)</f>
        <v>0</v>
      </c>
      <c r="F91" s="572"/>
      <c r="G91" s="572"/>
      <c r="H91" s="572"/>
      <c r="I91" s="572"/>
      <c r="J91" s="572"/>
      <c r="K91" s="573"/>
      <c r="L91" s="593"/>
      <c r="M91" s="103"/>
      <c r="N91" s="474" t="s">
        <v>279</v>
      </c>
      <c r="O91" s="343"/>
      <c r="P91" s="343"/>
      <c r="Q91" s="343"/>
      <c r="R91" s="343"/>
      <c r="S91" s="345">
        <v>49.2</v>
      </c>
      <c r="T91" s="345">
        <v>49.2</v>
      </c>
      <c r="U91" s="345">
        <v>54.7</v>
      </c>
      <c r="V91" s="256">
        <f>SUM(F91:G91)*S91</f>
        <v>0</v>
      </c>
      <c r="W91" s="562">
        <f>SUM(H91:J91)*T91</f>
        <v>0</v>
      </c>
      <c r="X91" s="562">
        <f>SUM(K91:L91)*U91</f>
        <v>0</v>
      </c>
      <c r="Y91" s="562">
        <f>SUM(V91:X91)</f>
        <v>0</v>
      </c>
      <c r="Z91" s="563">
        <f>VLOOKUP(N91,$A$190:$C$195,3,0)</f>
        <v>0</v>
      </c>
      <c r="AA91" s="562">
        <f>Y91-(Y91*Z91)</f>
        <v>0</v>
      </c>
      <c r="AB91" s="562">
        <f>IF(MID(AN91,13,1)="M",U91,IF(MID(AN91,13,1)="R",T91,S91))*E91</f>
        <v>0</v>
      </c>
      <c r="AC91" s="562">
        <f>AB91-(Z91*AB91)</f>
        <v>0</v>
      </c>
      <c r="AD91" s="162"/>
      <c r="AE91" s="358"/>
      <c r="AN91" s="385" t="str">
        <f>VLOOKUP(A91,mapa!B:I,MATCH('Dane podst. zamówienia'!$A$32,mapa!$B$1:$I$1,0),0)</f>
        <v>1110-000-716R-PSZ200</v>
      </c>
    </row>
    <row r="92" spans="1:40" s="3" customFormat="1" ht="25.9" hidden="1" customHeight="1" thickBot="1">
      <c r="A92" s="308" t="str">
        <f>MID(C92,6,4)&amp;RIGHT(C92,6)</f>
        <v>000-PAZ200</v>
      </c>
      <c r="B92" s="34" t="s">
        <v>608</v>
      </c>
      <c r="C92" s="104" t="s">
        <v>607</v>
      </c>
      <c r="D92" s="63" t="s">
        <v>117</v>
      </c>
      <c r="E92" s="467">
        <f>VLOOKUP(C92,Szacunek!$B$1:$H$192,7,0)</f>
        <v>0</v>
      </c>
      <c r="F92" s="572"/>
      <c r="G92" s="572"/>
      <c r="H92" s="572"/>
      <c r="I92" s="572"/>
      <c r="J92" s="572"/>
      <c r="K92" s="573"/>
      <c r="L92" s="593"/>
      <c r="M92" s="103"/>
      <c r="N92" s="474" t="s">
        <v>279</v>
      </c>
      <c r="O92" s="343"/>
      <c r="P92" s="343"/>
      <c r="Q92" s="343"/>
      <c r="R92" s="343"/>
      <c r="S92" s="345">
        <v>26.9</v>
      </c>
      <c r="T92" s="345">
        <v>26.9</v>
      </c>
      <c r="U92" s="345">
        <v>29.9</v>
      </c>
      <c r="V92" s="256">
        <f>SUM(F92:G92)*S92</f>
        <v>0</v>
      </c>
      <c r="W92" s="562">
        <f>SUM(H92:J92)*T92</f>
        <v>0</v>
      </c>
      <c r="X92" s="562">
        <f>SUM(K92:L92)*U92</f>
        <v>0</v>
      </c>
      <c r="Y92" s="562">
        <f>SUM(V92:X92)</f>
        <v>0</v>
      </c>
      <c r="Z92" s="563">
        <f>VLOOKUP(N92,$A$190:$C$195,3,0)</f>
        <v>0</v>
      </c>
      <c r="AA92" s="562">
        <f>Y92-(Y92*Z92)</f>
        <v>0</v>
      </c>
      <c r="AB92" s="562">
        <f>IF(MID(AN92,13,1)="M",U92,IF(MID(AN92,13,1)="R",T92,S92))*E92</f>
        <v>0</v>
      </c>
      <c r="AC92" s="562">
        <f>AB92-(Z92*AB92)</f>
        <v>0</v>
      </c>
      <c r="AD92" s="162"/>
      <c r="AE92" s="358"/>
      <c r="AN92" s="385" t="str">
        <f>VLOOKUP(A92,mapa!B:I,MATCH('Dane podst. zamówienia'!$A$32,mapa!$B$1:$I$1,0),0)</f>
        <v>1110-000-716R-PAZ200</v>
      </c>
    </row>
    <row r="93" spans="1:40" s="3" customFormat="1" ht="25.9" hidden="1" customHeight="1" thickBot="1">
      <c r="A93" s="308"/>
      <c r="B93" s="34" t="s">
        <v>612</v>
      </c>
      <c r="C93" s="104" t="s">
        <v>610</v>
      </c>
      <c r="D93" s="63"/>
      <c r="E93" s="590">
        <f>VLOOKUP(C93,Szacunek!$B$1:$H$192,7,0)</f>
        <v>0</v>
      </c>
      <c r="F93" s="674"/>
      <c r="G93" s="674"/>
      <c r="H93" s="674"/>
      <c r="I93" s="674"/>
      <c r="J93" s="674"/>
      <c r="K93" s="674"/>
      <c r="L93" s="675"/>
      <c r="M93" s="103"/>
      <c r="N93" s="474" t="s">
        <v>281</v>
      </c>
      <c r="O93" s="343"/>
      <c r="P93" s="343"/>
      <c r="Q93" s="343"/>
      <c r="R93" s="343"/>
      <c r="S93" s="345">
        <v>146.5</v>
      </c>
      <c r="T93" s="345"/>
      <c r="U93" s="345"/>
      <c r="V93" s="253"/>
      <c r="W93" s="562"/>
      <c r="X93" s="562">
        <f>SUM(F93)*S93</f>
        <v>0</v>
      </c>
      <c r="Y93" s="562">
        <f>SUM(V93:X93)</f>
        <v>0</v>
      </c>
      <c r="Z93" s="563">
        <f>VLOOKUP(N93,$A$190:$C$195,3,0)</f>
        <v>0</v>
      </c>
      <c r="AA93" s="562">
        <f>Y93-(Y93*Z93)</f>
        <v>0</v>
      </c>
      <c r="AB93" s="562">
        <f>S93*E93</f>
        <v>0</v>
      </c>
      <c r="AC93" s="562">
        <f>AB93-(Z93*AB93)</f>
        <v>0</v>
      </c>
      <c r="AD93" s="162"/>
      <c r="AE93" s="358"/>
      <c r="AN93" s="385" t="str">
        <f>C93</f>
        <v>1113-100-000X-PAP000</v>
      </c>
    </row>
    <row r="94" spans="1:40" s="3" customFormat="1" ht="25.9" hidden="1" customHeight="1">
      <c r="A94" s="308"/>
      <c r="B94" s="655" t="s">
        <v>615</v>
      </c>
      <c r="C94" s="655"/>
      <c r="D94" s="655"/>
      <c r="E94" s="655"/>
      <c r="F94" s="40"/>
      <c r="G94" s="301"/>
      <c r="H94" s="301"/>
      <c r="I94" s="301"/>
      <c r="J94" s="301"/>
      <c r="K94" s="301"/>
      <c r="L94" s="594"/>
      <c r="M94" s="103"/>
      <c r="N94" s="484"/>
      <c r="O94" s="343"/>
      <c r="P94" s="343"/>
      <c r="Q94" s="343"/>
      <c r="R94" s="343"/>
      <c r="S94" s="345"/>
      <c r="T94" s="345"/>
      <c r="U94" s="345"/>
      <c r="V94" s="253"/>
      <c r="W94" s="562"/>
      <c r="X94" s="562"/>
      <c r="Y94" s="562"/>
      <c r="Z94" s="562"/>
      <c r="AA94" s="562"/>
      <c r="AB94" s="562"/>
      <c r="AC94" s="562"/>
      <c r="AD94" s="162"/>
      <c r="AE94" s="358"/>
      <c r="AN94" s="386"/>
    </row>
    <row r="95" spans="1:40" s="3" customFormat="1" ht="30" hidden="1" customHeight="1" thickBot="1">
      <c r="A95" s="262"/>
      <c r="B95" s="87" t="s">
        <v>628</v>
      </c>
      <c r="C95" s="65"/>
      <c r="D95" s="58"/>
      <c r="E95" s="126"/>
      <c r="F95" s="40"/>
      <c r="G95" s="47"/>
      <c r="H95" s="53"/>
      <c r="I95" s="39"/>
      <c r="J95" s="39"/>
      <c r="K95" s="39"/>
      <c r="L95" s="592"/>
      <c r="M95" s="103"/>
      <c r="N95" s="484"/>
      <c r="O95" s="343"/>
      <c r="P95" s="343"/>
      <c r="Q95" s="343"/>
      <c r="R95" s="343"/>
      <c r="S95" s="345"/>
      <c r="T95" s="345"/>
      <c r="U95" s="345"/>
      <c r="V95" s="253"/>
      <c r="W95" s="562"/>
      <c r="X95" s="562"/>
      <c r="Y95" s="562"/>
      <c r="Z95" s="562"/>
      <c r="AA95" s="562"/>
      <c r="AB95" s="562"/>
      <c r="AC95" s="562"/>
      <c r="AD95" s="162"/>
      <c r="AE95" s="358"/>
      <c r="AN95" s="386"/>
    </row>
    <row r="96" spans="1:40" s="3" customFormat="1" ht="25.9" hidden="1" customHeight="1" thickBot="1">
      <c r="A96" s="308" t="str">
        <f>MID(C96,6,4)&amp;RIGHT(C96,6)</f>
        <v>000-LJE200</v>
      </c>
      <c r="B96" s="34" t="s">
        <v>599</v>
      </c>
      <c r="C96" s="104" t="s">
        <v>597</v>
      </c>
      <c r="D96" s="63"/>
      <c r="E96" s="467">
        <f>VLOOKUP(C96,Szacunek!$B$1:$H$192,7,0)</f>
        <v>0</v>
      </c>
      <c r="F96" s="572"/>
      <c r="G96" s="572"/>
      <c r="H96" s="572"/>
      <c r="I96" s="572"/>
      <c r="J96" s="572"/>
      <c r="K96" s="573"/>
      <c r="L96" s="593"/>
      <c r="M96" s="103"/>
      <c r="N96" s="474" t="s">
        <v>279</v>
      </c>
      <c r="O96" s="343"/>
      <c r="P96" s="343"/>
      <c r="Q96" s="343"/>
      <c r="R96" s="343"/>
      <c r="S96" s="345">
        <v>100</v>
      </c>
      <c r="T96" s="345">
        <v>100</v>
      </c>
      <c r="U96" s="345">
        <v>100</v>
      </c>
      <c r="V96" s="256">
        <f>SUM(F96:G96)*S96</f>
        <v>0</v>
      </c>
      <c r="W96" s="562">
        <f>SUM(H96:J96)*T96</f>
        <v>0</v>
      </c>
      <c r="X96" s="562">
        <f>SUM(K96:L96)*U96</f>
        <v>0</v>
      </c>
      <c r="Y96" s="562">
        <f>SUM(V96:X96)</f>
        <v>0</v>
      </c>
      <c r="Z96" s="563">
        <f>VLOOKUP(N96,$A$190:$C$195,3,0)</f>
        <v>0</v>
      </c>
      <c r="AA96" s="562">
        <f>Y96-(Y96*Z96)</f>
        <v>0</v>
      </c>
      <c r="AB96" s="562">
        <f>IF(MID(AN96,13,1)="M",U96,IF(MID(AN96,13,1)="R",T96,S96))*E96</f>
        <v>0</v>
      </c>
      <c r="AC96" s="562">
        <f>AB96-(Z96*AB96)</f>
        <v>0</v>
      </c>
      <c r="AD96" s="162"/>
      <c r="AE96" s="358"/>
      <c r="AN96" s="385" t="str">
        <f>VLOOKUP(A96,mapa!B:I,MATCH('Dane podst. zamówienia'!$A$32,mapa!$B$1:$I$1,0),0)</f>
        <v>1110-000-716R-LJE200</v>
      </c>
    </row>
    <row r="97" spans="1:42" s="3" customFormat="1" ht="25.9" hidden="1" customHeight="1" thickBot="1">
      <c r="A97" s="308" t="str">
        <f>MID(C97,6,4)&amp;RIGHT(C97,6)</f>
        <v>000-PDE200</v>
      </c>
      <c r="B97" s="34" t="s">
        <v>600</v>
      </c>
      <c r="C97" s="104" t="s">
        <v>598</v>
      </c>
      <c r="D97" s="63"/>
      <c r="E97" s="467">
        <f>VLOOKUP(C97,Szacunek!$B$1:$H$192,7,0)</f>
        <v>0</v>
      </c>
      <c r="F97" s="572"/>
      <c r="G97" s="572"/>
      <c r="H97" s="572"/>
      <c r="I97" s="572"/>
      <c r="J97" s="572"/>
      <c r="K97" s="573"/>
      <c r="L97" s="593"/>
      <c r="M97" s="103"/>
      <c r="N97" s="474" t="s">
        <v>279</v>
      </c>
      <c r="O97" s="343"/>
      <c r="P97" s="343"/>
      <c r="Q97" s="343"/>
      <c r="R97" s="343"/>
      <c r="S97" s="345">
        <v>100</v>
      </c>
      <c r="T97" s="345">
        <v>100</v>
      </c>
      <c r="U97" s="345">
        <v>100</v>
      </c>
      <c r="V97" s="256">
        <f>SUM(F97:G97)*S97</f>
        <v>0</v>
      </c>
      <c r="W97" s="562">
        <f>SUM(H97:J97)*T97</f>
        <v>0</v>
      </c>
      <c r="X97" s="562">
        <f>SUM(K97:L97)*U97</f>
        <v>0</v>
      </c>
      <c r="Y97" s="562">
        <f>SUM(V97:X97)</f>
        <v>0</v>
      </c>
      <c r="Z97" s="563">
        <f>VLOOKUP(N97,$A$190:$C$195,3,0)</f>
        <v>0</v>
      </c>
      <c r="AA97" s="562">
        <f>Y97-(Y97*Z97)</f>
        <v>0</v>
      </c>
      <c r="AB97" s="562">
        <f>IF(MID(AN97,13,1)="M",U97,IF(MID(AN97,13,1)="R",T97,S97))*E97</f>
        <v>0</v>
      </c>
      <c r="AC97" s="562">
        <f>AB97-(Z97*AB97)</f>
        <v>0</v>
      </c>
      <c r="AD97" s="162"/>
      <c r="AE97" s="358"/>
      <c r="AN97" s="385" t="str">
        <f>VLOOKUP(A97,mapa!B:I,MATCH('Dane podst. zamówienia'!$A$32,mapa!$B$1:$I$1,0),0)</f>
        <v>1110-000-716R-PDE200</v>
      </c>
    </row>
    <row r="98" spans="1:42" s="3" customFormat="1" ht="25.9" hidden="1" customHeight="1" thickBot="1">
      <c r="A98" s="308"/>
      <c r="B98" s="34" t="s">
        <v>613</v>
      </c>
      <c r="C98" s="104" t="s">
        <v>611</v>
      </c>
      <c r="D98" s="63"/>
      <c r="E98" s="590">
        <f>VLOOKUP(C98,Szacunek!$B$1:$H$192,7,0)</f>
        <v>0</v>
      </c>
      <c r="F98" s="674"/>
      <c r="G98" s="674"/>
      <c r="H98" s="674"/>
      <c r="I98" s="674"/>
      <c r="J98" s="674"/>
      <c r="K98" s="674"/>
      <c r="L98" s="675"/>
      <c r="M98" s="103"/>
      <c r="N98" s="474" t="s">
        <v>279</v>
      </c>
      <c r="O98" s="343"/>
      <c r="P98" s="343"/>
      <c r="Q98" s="343"/>
      <c r="R98" s="343"/>
      <c r="S98" s="345">
        <v>146.5</v>
      </c>
      <c r="T98" s="345"/>
      <c r="U98" s="345"/>
      <c r="V98" s="253"/>
      <c r="W98" s="562"/>
      <c r="X98" s="562">
        <f>SUM(F98)*S98</f>
        <v>0</v>
      </c>
      <c r="Y98" s="562">
        <f>SUM(V98:X98)</f>
        <v>0</v>
      </c>
      <c r="Z98" s="563">
        <f>VLOOKUP(N98,$A$190:$C$195,3,0)</f>
        <v>0</v>
      </c>
      <c r="AA98" s="562">
        <f>Y98-(Y98*Z98)</f>
        <v>0</v>
      </c>
      <c r="AB98" s="562">
        <f>S98*E98</f>
        <v>0</v>
      </c>
      <c r="AC98" s="562">
        <f>AB98-(Z98*AB98)</f>
        <v>0</v>
      </c>
      <c r="AD98" s="162"/>
      <c r="AE98" s="358"/>
      <c r="AN98" s="385" t="str">
        <f>C98</f>
        <v>1113-100-000X-PAZ000</v>
      </c>
    </row>
    <row r="99" spans="1:42" s="3" customFormat="1" ht="25.9" hidden="1" customHeight="1">
      <c r="A99" s="262"/>
      <c r="B99" s="655" t="s">
        <v>614</v>
      </c>
      <c r="C99" s="655"/>
      <c r="D99" s="655"/>
      <c r="E99" s="655"/>
      <c r="F99" s="40"/>
      <c r="G99" s="47"/>
      <c r="H99" s="53"/>
      <c r="I99" s="39"/>
      <c r="J99" s="39"/>
      <c r="K99" s="39"/>
      <c r="L99" s="592"/>
      <c r="M99" s="103"/>
      <c r="N99" s="484"/>
      <c r="O99" s="343"/>
      <c r="P99" s="343"/>
      <c r="Q99" s="343"/>
      <c r="R99" s="343"/>
      <c r="S99" s="345"/>
      <c r="T99" s="345"/>
      <c r="U99" s="345"/>
      <c r="V99" s="253"/>
      <c r="W99" s="562"/>
      <c r="X99" s="562"/>
      <c r="Y99" s="562"/>
      <c r="Z99" s="562"/>
      <c r="AA99" s="562"/>
      <c r="AB99" s="562"/>
      <c r="AC99" s="562"/>
      <c r="AD99" s="162"/>
      <c r="AE99" s="358"/>
      <c r="AN99" s="386"/>
    </row>
    <row r="100" spans="1:42" s="3" customFormat="1" ht="19.899999999999999" hidden="1" customHeight="1" thickBot="1">
      <c r="A100" s="262" t="s">
        <v>582</v>
      </c>
      <c r="B100" s="305" t="s">
        <v>635</v>
      </c>
      <c r="C100" s="389"/>
      <c r="D100" s="389"/>
      <c r="E100" s="389"/>
      <c r="F100" s="40"/>
      <c r="G100" s="47"/>
      <c r="H100" s="53"/>
      <c r="I100" s="39"/>
      <c r="J100" s="39"/>
      <c r="K100" s="39"/>
      <c r="L100" s="592"/>
      <c r="M100" s="103"/>
      <c r="N100" s="484"/>
      <c r="O100" s="343"/>
      <c r="P100" s="343"/>
      <c r="Q100" s="343"/>
      <c r="R100" s="343"/>
      <c r="S100" s="345"/>
      <c r="T100" s="345"/>
      <c r="U100" s="345"/>
      <c r="V100" s="253"/>
      <c r="W100" s="562"/>
      <c r="X100" s="562"/>
      <c r="Y100" s="562"/>
      <c r="Z100" s="562"/>
      <c r="AA100" s="562"/>
      <c r="AB100" s="562"/>
      <c r="AC100" s="562"/>
      <c r="AD100" s="162"/>
      <c r="AE100" s="358"/>
      <c r="AN100" s="386"/>
    </row>
    <row r="101" spans="1:42" s="3" customFormat="1" ht="25.9" hidden="1" customHeight="1" thickBot="1">
      <c r="A101" s="262" t="s">
        <v>582</v>
      </c>
      <c r="B101" s="34" t="s">
        <v>617</v>
      </c>
      <c r="C101" s="104" t="s">
        <v>616</v>
      </c>
      <c r="D101" s="63"/>
      <c r="E101" s="467">
        <f>VLOOKUP(C101,Szacunek!$B$1:$H$192,7,0)</f>
        <v>0</v>
      </c>
      <c r="F101" s="674"/>
      <c r="G101" s="674"/>
      <c r="H101" s="674"/>
      <c r="I101" s="674"/>
      <c r="J101" s="674"/>
      <c r="K101" s="674"/>
      <c r="L101" s="675"/>
      <c r="M101" s="103"/>
      <c r="N101" s="474" t="s">
        <v>279</v>
      </c>
      <c r="O101" s="343"/>
      <c r="P101" s="343"/>
      <c r="Q101" s="343"/>
      <c r="R101" s="343"/>
      <c r="S101" s="345">
        <v>19.600000000000001</v>
      </c>
      <c r="T101" s="345"/>
      <c r="U101" s="345"/>
      <c r="V101" s="253"/>
      <c r="W101" s="562"/>
      <c r="X101" s="562">
        <f>SUM(F101)*S101</f>
        <v>0</v>
      </c>
      <c r="Y101" s="562">
        <f>SUM(V101:X101)</f>
        <v>0</v>
      </c>
      <c r="Z101" s="563">
        <f>VLOOKUP(N101,$A$190:$C$195,3,0)</f>
        <v>0</v>
      </c>
      <c r="AA101" s="562">
        <f>Y101-(Y101*Z101)</f>
        <v>0</v>
      </c>
      <c r="AB101" s="562">
        <f>S101*E101</f>
        <v>0</v>
      </c>
      <c r="AC101" s="562">
        <f>AB101-(Z101*AB101)</f>
        <v>0</v>
      </c>
      <c r="AD101" s="162"/>
      <c r="AE101" s="358"/>
      <c r="AN101" s="385" t="str">
        <f>C101</f>
        <v>1113-000-000X-KAE200</v>
      </c>
    </row>
    <row r="102" spans="1:42" s="3" customFormat="1" ht="25.9" hidden="1" customHeight="1" thickBot="1">
      <c r="A102" s="262" t="s">
        <v>582</v>
      </c>
      <c r="B102" s="34" t="s">
        <v>620</v>
      </c>
      <c r="C102" s="104" t="s">
        <v>618</v>
      </c>
      <c r="D102" s="63"/>
      <c r="E102" s="467">
        <f>VLOOKUP(C102,Szacunek!$B$1:$H$192,7,0)</f>
        <v>0</v>
      </c>
      <c r="F102" s="674"/>
      <c r="G102" s="674"/>
      <c r="H102" s="674"/>
      <c r="I102" s="674"/>
      <c r="J102" s="674"/>
      <c r="K102" s="674"/>
      <c r="L102" s="675"/>
      <c r="M102" s="103"/>
      <c r="N102" s="474" t="s">
        <v>279</v>
      </c>
      <c r="O102" s="343"/>
      <c r="P102" s="343"/>
      <c r="Q102" s="343"/>
      <c r="R102" s="343"/>
      <c r="S102" s="345">
        <v>56.2</v>
      </c>
      <c r="T102" s="345"/>
      <c r="U102" s="345"/>
      <c r="V102" s="253"/>
      <c r="W102" s="562"/>
      <c r="X102" s="562">
        <f>SUM(F102)*S102</f>
        <v>0</v>
      </c>
      <c r="Y102" s="562">
        <f>SUM(V102:X102)</f>
        <v>0</v>
      </c>
      <c r="Z102" s="563">
        <f>VLOOKUP(N102,$A$190:$C$195,3,0)</f>
        <v>0</v>
      </c>
      <c r="AA102" s="562">
        <f>Y102-(Y102*Z102)</f>
        <v>0</v>
      </c>
      <c r="AB102" s="562">
        <f>S102*E102</f>
        <v>0</v>
      </c>
      <c r="AC102" s="562">
        <f>AB102-(Z102*AB102)</f>
        <v>0</v>
      </c>
      <c r="AD102" s="162"/>
      <c r="AE102" s="358"/>
      <c r="AN102" s="385" t="str">
        <f>C102</f>
        <v>1113-050-000X-PAK200</v>
      </c>
    </row>
    <row r="103" spans="1:42" s="3" customFormat="1" ht="25.9" hidden="1" customHeight="1" thickBot="1">
      <c r="A103" s="262" t="s">
        <v>582</v>
      </c>
      <c r="B103" s="34" t="s">
        <v>621</v>
      </c>
      <c r="C103" s="104" t="s">
        <v>619</v>
      </c>
      <c r="D103" s="63"/>
      <c r="E103" s="467">
        <f>VLOOKUP(C103,Szacunek!$B$1:$H$192,7,0)</f>
        <v>0</v>
      </c>
      <c r="F103" s="674"/>
      <c r="G103" s="674"/>
      <c r="H103" s="674"/>
      <c r="I103" s="674"/>
      <c r="J103" s="674"/>
      <c r="K103" s="674"/>
      <c r="L103" s="675"/>
      <c r="M103" s="103"/>
      <c r="N103" s="474" t="s">
        <v>279</v>
      </c>
      <c r="O103" s="343"/>
      <c r="P103" s="343"/>
      <c r="Q103" s="343"/>
      <c r="R103" s="343"/>
      <c r="S103" s="345">
        <v>28.1</v>
      </c>
      <c r="T103" s="345"/>
      <c r="U103" s="345"/>
      <c r="V103" s="253"/>
      <c r="W103" s="562"/>
      <c r="X103" s="562">
        <f>SUM(F103)*S103</f>
        <v>0</v>
      </c>
      <c r="Y103" s="562">
        <f>SUM(V103:X103)</f>
        <v>0</v>
      </c>
      <c r="Z103" s="563">
        <f>VLOOKUP(N103,$A$190:$C$195,3,0)</f>
        <v>0</v>
      </c>
      <c r="AA103" s="562">
        <f>Y103-(Y103*Z103)</f>
        <v>0</v>
      </c>
      <c r="AB103" s="562">
        <f>S103*E103</f>
        <v>0</v>
      </c>
      <c r="AC103" s="562">
        <f>AB103-(Z103*AB103)</f>
        <v>0</v>
      </c>
      <c r="AD103" s="162"/>
      <c r="AE103" s="358"/>
      <c r="AN103" s="385" t="str">
        <f>C103</f>
        <v>1113-050-000X-PAK100</v>
      </c>
    </row>
    <row r="104" spans="1:42" s="3" customFormat="1" ht="25.9" hidden="1" customHeight="1" thickBot="1">
      <c r="A104" s="262" t="s">
        <v>582</v>
      </c>
      <c r="B104" s="34" t="s">
        <v>623</v>
      </c>
      <c r="C104" s="104" t="s">
        <v>622</v>
      </c>
      <c r="D104" s="63"/>
      <c r="E104" s="467">
        <f>VLOOKUP(C104,Szacunek!$B$1:$H$192,7,0)</f>
        <v>0</v>
      </c>
      <c r="F104" s="674"/>
      <c r="G104" s="674"/>
      <c r="H104" s="674"/>
      <c r="I104" s="674"/>
      <c r="J104" s="674"/>
      <c r="K104" s="674"/>
      <c r="L104" s="675"/>
      <c r="M104" s="103"/>
      <c r="N104" s="474" t="s">
        <v>279</v>
      </c>
      <c r="O104" s="343"/>
      <c r="P104" s="343"/>
      <c r="Q104" s="343"/>
      <c r="R104" s="343"/>
      <c r="S104" s="345">
        <v>792</v>
      </c>
      <c r="T104" s="345"/>
      <c r="U104" s="345"/>
      <c r="V104" s="253"/>
      <c r="W104" s="562"/>
      <c r="X104" s="562">
        <f>SUM(F104)*S104</f>
        <v>0</v>
      </c>
      <c r="Y104" s="562">
        <f>SUM(V104:X104)</f>
        <v>0</v>
      </c>
      <c r="Z104" s="563">
        <f>VLOOKUP(N104,$A$190:$C$195,3,0)</f>
        <v>0</v>
      </c>
      <c r="AA104" s="562">
        <f>Y104-(Y104*Z104)</f>
        <v>0</v>
      </c>
      <c r="AB104" s="562">
        <f>S104*E104</f>
        <v>0</v>
      </c>
      <c r="AC104" s="562">
        <f>AB104-(Z104*AB104)</f>
        <v>0</v>
      </c>
      <c r="AD104" s="162"/>
      <c r="AE104" s="358"/>
      <c r="AN104" s="385" t="str">
        <f>C104</f>
        <v>1110-020-000X-WNK500</v>
      </c>
    </row>
    <row r="105" spans="1:42" s="3" customFormat="1" ht="25.9" hidden="1" customHeight="1">
      <c r="A105" s="262"/>
      <c r="B105" s="64"/>
      <c r="C105" s="65"/>
      <c r="D105" s="58"/>
      <c r="E105" s="126"/>
      <c r="F105" s="40"/>
      <c r="G105" s="47"/>
      <c r="H105" s="53"/>
      <c r="I105" s="39"/>
      <c r="J105" s="39"/>
      <c r="K105" s="39"/>
      <c r="L105" s="592"/>
      <c r="M105" s="103"/>
      <c r="N105" s="484"/>
      <c r="O105" s="343"/>
      <c r="P105" s="343"/>
      <c r="Q105" s="343"/>
      <c r="R105" s="343"/>
      <c r="S105" s="345"/>
      <c r="T105" s="345"/>
      <c r="U105" s="345"/>
      <c r="V105" s="253"/>
      <c r="W105" s="562"/>
      <c r="X105" s="562"/>
      <c r="Y105" s="562"/>
      <c r="Z105" s="562"/>
      <c r="AA105" s="562"/>
      <c r="AB105" s="562"/>
      <c r="AC105" s="562"/>
      <c r="AD105" s="162"/>
      <c r="AE105" s="358"/>
      <c r="AN105" s="386"/>
    </row>
    <row r="106" spans="1:42" ht="15" customHeight="1" thickBot="1">
      <c r="B106" s="449" t="s">
        <v>724</v>
      </c>
      <c r="C106" s="35"/>
      <c r="D106" s="45"/>
      <c r="F106" s="587"/>
      <c r="G106" s="588"/>
      <c r="H106" s="589"/>
      <c r="I106" s="81"/>
      <c r="J106" s="81"/>
      <c r="K106" s="81"/>
      <c r="L106" s="595"/>
      <c r="M106" s="100"/>
      <c r="N106" s="478"/>
      <c r="O106" s="333"/>
      <c r="P106" s="333"/>
      <c r="Q106" s="333"/>
      <c r="R106" s="333"/>
      <c r="S106" s="345"/>
      <c r="T106" s="345"/>
      <c r="U106" s="345"/>
      <c r="W106" s="566"/>
      <c r="X106" s="562"/>
      <c r="Y106" s="562"/>
      <c r="Z106" s="562"/>
      <c r="AA106" s="562"/>
      <c r="AB106" s="562"/>
      <c r="AC106" s="562"/>
      <c r="AD106" s="161"/>
      <c r="AE106" s="357"/>
      <c r="AF106" s="345"/>
      <c r="AG106" s="345"/>
      <c r="AH106" s="345"/>
      <c r="AN106" s="386"/>
      <c r="AO106" s="3"/>
      <c r="AP106" s="3"/>
    </row>
    <row r="107" spans="1:42" s="3" customFormat="1" ht="26.25" thickBot="1">
      <c r="A107" s="308" t="str">
        <f>MID(C107,6,4)&amp;RIGHT(C107,6)</f>
        <v>050-PAZ200</v>
      </c>
      <c r="B107" s="440" t="s">
        <v>211</v>
      </c>
      <c r="C107" s="437" t="s">
        <v>213</v>
      </c>
      <c r="D107" s="442" t="s">
        <v>35</v>
      </c>
      <c r="E107" s="374">
        <f>VLOOKUP(C107,Szacunek!$B$1:$H$192,7,0)*WYKON_KALK</f>
        <v>0</v>
      </c>
      <c r="F107" s="717"/>
      <c r="G107" s="674"/>
      <c r="H107" s="674"/>
      <c r="I107" s="674"/>
      <c r="J107" s="674"/>
      <c r="K107" s="674"/>
      <c r="L107" s="674"/>
      <c r="M107" s="103"/>
      <c r="N107" s="475" t="s">
        <v>592</v>
      </c>
      <c r="O107" s="343"/>
      <c r="P107" s="343"/>
      <c r="Q107" s="343"/>
      <c r="R107" s="343"/>
      <c r="S107" s="662">
        <v>75.2</v>
      </c>
      <c r="T107" s="663"/>
      <c r="U107" s="664"/>
      <c r="V107" s="253"/>
      <c r="W107" s="562"/>
      <c r="X107" s="562">
        <f>SUM(F107)*S107</f>
        <v>0</v>
      </c>
      <c r="Y107" s="562">
        <f>SUM(V107:X107)</f>
        <v>0</v>
      </c>
      <c r="Z107" s="563">
        <f>VLOOKUP(N107,$A$190:$C$195,3,0)</f>
        <v>0</v>
      </c>
      <c r="AA107" s="562">
        <f>Y107-(Y107*Z107)</f>
        <v>0</v>
      </c>
      <c r="AB107" s="562">
        <f>S107*E107</f>
        <v>0</v>
      </c>
      <c r="AC107" s="562">
        <f>AB107-(Z107*AB107)</f>
        <v>0</v>
      </c>
      <c r="AD107" s="161"/>
      <c r="AE107" s="358"/>
      <c r="AN107" s="503" t="str">
        <f>C107</f>
        <v>1113-050-000X-PAZ200</v>
      </c>
    </row>
    <row r="108" spans="1:42" s="3" customFormat="1" ht="26.25" thickBot="1">
      <c r="A108" s="308" t="str">
        <f>MID(C108,6,4)&amp;RIGHT(C108,6)</f>
        <v>050-PAD200</v>
      </c>
      <c r="B108" s="440" t="s">
        <v>212</v>
      </c>
      <c r="C108" s="437" t="s">
        <v>214</v>
      </c>
      <c r="D108" s="442" t="s">
        <v>35</v>
      </c>
      <c r="E108" s="374">
        <f>VLOOKUP(C108,Szacunek!$B$1:$H$192,7,0)*WYKON_KALK</f>
        <v>0</v>
      </c>
      <c r="F108" s="717"/>
      <c r="G108" s="674"/>
      <c r="H108" s="674"/>
      <c r="I108" s="674"/>
      <c r="J108" s="674"/>
      <c r="K108" s="674"/>
      <c r="L108" s="674"/>
      <c r="M108" s="103"/>
      <c r="N108" s="475" t="s">
        <v>592</v>
      </c>
      <c r="O108" s="343"/>
      <c r="P108" s="343"/>
      <c r="Q108" s="343"/>
      <c r="R108" s="343"/>
      <c r="S108" s="662">
        <v>134</v>
      </c>
      <c r="T108" s="663"/>
      <c r="U108" s="664"/>
      <c r="V108" s="253"/>
      <c r="W108" s="562"/>
      <c r="X108" s="562">
        <f>SUM(F108)*S108</f>
        <v>0</v>
      </c>
      <c r="Y108" s="562">
        <f>SUM(V108:X108)</f>
        <v>0</v>
      </c>
      <c r="Z108" s="563">
        <f>VLOOKUP(N108,$A$190:$C$195,3,0)</f>
        <v>0</v>
      </c>
      <c r="AA108" s="562">
        <f>Y108-(Y108*Z108)</f>
        <v>0</v>
      </c>
      <c r="AB108" s="562">
        <f>S108*E108</f>
        <v>0</v>
      </c>
      <c r="AC108" s="562">
        <f>AB108-(Z108*AB108)</f>
        <v>0</v>
      </c>
      <c r="AD108" s="161"/>
      <c r="AE108" s="358"/>
      <c r="AN108" s="503" t="str">
        <f>C108</f>
        <v>1113-050-000X-PAD200</v>
      </c>
    </row>
    <row r="109" spans="1:42" s="3" customFormat="1" ht="26.25" thickBot="1">
      <c r="A109" s="308" t="str">
        <f>MID(C109,6,4)&amp;RIGHT(C109,6)</f>
        <v>050-WOA300</v>
      </c>
      <c r="B109" s="440" t="s">
        <v>784</v>
      </c>
      <c r="C109" s="437" t="s">
        <v>215</v>
      </c>
      <c r="D109" s="442" t="s">
        <v>35</v>
      </c>
      <c r="E109" s="374">
        <f>VLOOKUP(C109,Szacunek!$B$1:$H$192,7,0)*WYKON_KALK</f>
        <v>0</v>
      </c>
      <c r="F109" s="717"/>
      <c r="G109" s="674"/>
      <c r="H109" s="674"/>
      <c r="I109" s="674"/>
      <c r="J109" s="674"/>
      <c r="K109" s="674"/>
      <c r="L109" s="674"/>
      <c r="M109" s="103"/>
      <c r="N109" s="475" t="s">
        <v>592</v>
      </c>
      <c r="O109" s="343"/>
      <c r="P109" s="343"/>
      <c r="Q109" s="343"/>
      <c r="R109" s="343"/>
      <c r="S109" s="662">
        <v>48.8</v>
      </c>
      <c r="T109" s="663"/>
      <c r="U109" s="664"/>
      <c r="V109" s="253"/>
      <c r="W109" s="562"/>
      <c r="X109" s="562">
        <f>SUM(F109)*S109</f>
        <v>0</v>
      </c>
      <c r="Y109" s="562">
        <f>SUM(V109:X109)</f>
        <v>0</v>
      </c>
      <c r="Z109" s="563">
        <f>VLOOKUP(N109,$A$190:$C$195,3,0)</f>
        <v>0</v>
      </c>
      <c r="AA109" s="562">
        <f>Y109-(Y109*Z109)</f>
        <v>0</v>
      </c>
      <c r="AB109" s="562">
        <f>S109*E109</f>
        <v>0</v>
      </c>
      <c r="AC109" s="562">
        <f>AB109-(Z109*AB109)</f>
        <v>0</v>
      </c>
      <c r="AD109" s="161"/>
      <c r="AE109" s="358"/>
      <c r="AN109" s="503" t="str">
        <f>C109</f>
        <v>1110-050-000X-WOA300</v>
      </c>
    </row>
    <row r="110" spans="1:42" s="3" customFormat="1">
      <c r="A110" s="262"/>
      <c r="B110" s="64"/>
      <c r="C110" s="65"/>
      <c r="D110" s="58"/>
      <c r="E110" s="430" t="s">
        <v>299</v>
      </c>
      <c r="F110" s="58"/>
      <c r="G110" s="58"/>
      <c r="H110" s="67"/>
      <c r="I110" s="67"/>
      <c r="J110" s="43"/>
      <c r="K110" s="43"/>
      <c r="L110" s="43"/>
      <c r="M110" s="100"/>
      <c r="N110" s="484"/>
      <c r="O110" s="343"/>
      <c r="P110" s="343"/>
      <c r="Q110" s="343"/>
      <c r="R110" s="343"/>
      <c r="S110" s="345"/>
      <c r="T110" s="345"/>
      <c r="U110" s="345"/>
      <c r="V110" s="253"/>
      <c r="W110" s="562"/>
      <c r="X110" s="562"/>
      <c r="Y110" s="562"/>
      <c r="Z110" s="562"/>
      <c r="AA110" s="562"/>
      <c r="AB110" s="562"/>
      <c r="AC110" s="562"/>
      <c r="AD110" s="162"/>
      <c r="AE110" s="358"/>
      <c r="AN110" s="386"/>
    </row>
    <row r="111" spans="1:42" s="3" customFormat="1" ht="53.45" customHeight="1">
      <c r="A111" s="262"/>
      <c r="B111" s="39"/>
      <c r="C111" s="39"/>
      <c r="D111" s="665" t="s">
        <v>184</v>
      </c>
      <c r="E111" s="130"/>
      <c r="F111" s="559" t="s">
        <v>750</v>
      </c>
      <c r="G111" s="39"/>
      <c r="H111" s="559" t="s">
        <v>751</v>
      </c>
      <c r="I111" s="39"/>
      <c r="J111" s="39"/>
      <c r="K111" s="39"/>
      <c r="L111" s="39"/>
      <c r="M111" s="101"/>
      <c r="N111" s="484"/>
      <c r="O111" s="343"/>
      <c r="P111" s="343"/>
      <c r="Q111" s="343"/>
      <c r="R111" s="343"/>
      <c r="S111" s="345"/>
      <c r="T111" s="345"/>
      <c r="U111" s="345"/>
      <c r="V111" s="253"/>
      <c r="W111" s="562"/>
      <c r="X111" s="562"/>
      <c r="Y111" s="562"/>
      <c r="Z111" s="562"/>
      <c r="AA111" s="562"/>
      <c r="AB111" s="562"/>
      <c r="AC111" s="562"/>
      <c r="AD111" s="162"/>
      <c r="AE111" s="358"/>
      <c r="AN111" s="386"/>
    </row>
    <row r="112" spans="1:42" s="3" customFormat="1" ht="22.15" customHeight="1" thickBot="1">
      <c r="A112" s="262"/>
      <c r="B112" s="449" t="s">
        <v>216</v>
      </c>
      <c r="C112" s="45" t="s">
        <v>0</v>
      </c>
      <c r="D112" s="666"/>
      <c r="E112" s="375" t="s">
        <v>185</v>
      </c>
      <c r="F112" s="543" t="s">
        <v>233</v>
      </c>
      <c r="G112" s="39"/>
      <c r="H112" s="46" t="s">
        <v>112</v>
      </c>
      <c r="I112" s="39"/>
      <c r="J112" s="39"/>
      <c r="K112" s="39"/>
      <c r="L112" s="39"/>
      <c r="M112" s="100"/>
      <c r="N112" s="484"/>
      <c r="O112" s="343"/>
      <c r="P112" s="343"/>
      <c r="Q112" s="343"/>
      <c r="R112" s="343"/>
      <c r="S112" s="345"/>
      <c r="T112" s="345"/>
      <c r="U112" s="345"/>
      <c r="V112" s="253"/>
      <c r="W112" s="562"/>
      <c r="X112" s="562"/>
      <c r="Y112" s="562"/>
      <c r="Z112" s="562"/>
      <c r="AA112" s="562"/>
      <c r="AB112" s="562"/>
      <c r="AC112" s="562"/>
      <c r="AD112" s="162"/>
      <c r="AE112" s="358"/>
      <c r="AN112" s="386"/>
    </row>
    <row r="113" spans="1:40" s="3" customFormat="1" ht="22.15" customHeight="1" thickBot="1">
      <c r="A113" s="308" t="str">
        <f t="shared" ref="A113:A118" si="34">MID(C113,6,4)&amp;RIGHT(C113,6)</f>
        <v>080-RUR400</v>
      </c>
      <c r="B113" s="440" t="s">
        <v>217</v>
      </c>
      <c r="C113" s="437" t="s">
        <v>222</v>
      </c>
      <c r="D113" s="442" t="s">
        <v>223</v>
      </c>
      <c r="E113" s="467">
        <f>VLOOKUP(C113,Szacunek!$B$1:$H$192,7,0)*WYKON_KALK</f>
        <v>0</v>
      </c>
      <c r="F113" s="59"/>
      <c r="G113" s="39"/>
      <c r="H113" s="59"/>
      <c r="I113" s="39"/>
      <c r="J113" s="39"/>
      <c r="K113" s="39"/>
      <c r="L113" s="39"/>
      <c r="M113" s="100"/>
      <c r="N113" s="475" t="s">
        <v>592</v>
      </c>
      <c r="O113" s="343"/>
      <c r="P113" s="343"/>
      <c r="Q113" s="343"/>
      <c r="R113" s="343"/>
      <c r="S113" s="662">
        <v>135.80000000000001</v>
      </c>
      <c r="T113" s="663"/>
      <c r="U113" s="664"/>
      <c r="V113" s="253"/>
      <c r="W113" s="562"/>
      <c r="X113" s="562">
        <f t="shared" ref="X113:X118" si="35">SUM(F113:H113)*S113</f>
        <v>0</v>
      </c>
      <c r="Y113" s="562">
        <f t="shared" ref="Y113:Y171" si="36">SUM(V113:X113)</f>
        <v>0</v>
      </c>
      <c r="Z113" s="563">
        <f t="shared" ref="Z113:Z118" si="37">VLOOKUP(N113,$A$190:$C$195,3,0)</f>
        <v>0</v>
      </c>
      <c r="AA113" s="562">
        <f t="shared" ref="AA113:AA118" si="38">Y113-(Y113*Z113)</f>
        <v>0</v>
      </c>
      <c r="AB113" s="562">
        <f t="shared" ref="AB113:AB118" si="39">S113*E113</f>
        <v>0</v>
      </c>
      <c r="AC113" s="562">
        <f t="shared" ref="AC113:AC118" si="40">AB113-(Z113*AB113)</f>
        <v>0</v>
      </c>
      <c r="AD113" s="161"/>
      <c r="AE113" s="358"/>
      <c r="AN113" s="503" t="str">
        <f>VLOOKUP(A113,mapa!B:I,MATCH('Dane podst. zamówienia'!$A$32,mapa!$B$1:$I$1,0),0)</f>
        <v>1022-080-721S-RUR400</v>
      </c>
    </row>
    <row r="114" spans="1:40" s="3" customFormat="1" ht="22.15" customHeight="1" thickBot="1">
      <c r="A114" s="308" t="str">
        <f t="shared" si="34"/>
        <v>080-MUF000</v>
      </c>
      <c r="B114" s="440" t="s">
        <v>218</v>
      </c>
      <c r="C114" s="437" t="s">
        <v>224</v>
      </c>
      <c r="D114" s="442" t="s">
        <v>225</v>
      </c>
      <c r="E114" s="467">
        <f>VLOOKUP(C114,Szacunek!$B$1:$H$192,7,0)*WYKON_KALK</f>
        <v>0</v>
      </c>
      <c r="F114" s="59"/>
      <c r="G114" s="39"/>
      <c r="H114" s="59"/>
      <c r="I114" s="39"/>
      <c r="J114" s="39"/>
      <c r="K114" s="39"/>
      <c r="L114" s="39"/>
      <c r="M114" s="100"/>
      <c r="N114" s="475" t="s">
        <v>592</v>
      </c>
      <c r="O114" s="343"/>
      <c r="P114" s="343"/>
      <c r="Q114" s="343"/>
      <c r="R114" s="343"/>
      <c r="S114" s="662">
        <v>29.1</v>
      </c>
      <c r="T114" s="663"/>
      <c r="U114" s="664"/>
      <c r="V114" s="253"/>
      <c r="W114" s="562"/>
      <c r="X114" s="562">
        <f t="shared" si="35"/>
        <v>0</v>
      </c>
      <c r="Y114" s="562">
        <f t="shared" si="36"/>
        <v>0</v>
      </c>
      <c r="Z114" s="563">
        <f t="shared" si="37"/>
        <v>0</v>
      </c>
      <c r="AA114" s="562">
        <f t="shared" si="38"/>
        <v>0</v>
      </c>
      <c r="AB114" s="562">
        <f t="shared" si="39"/>
        <v>0</v>
      </c>
      <c r="AC114" s="562">
        <f t="shared" si="40"/>
        <v>0</v>
      </c>
      <c r="AD114" s="161"/>
      <c r="AE114" s="358"/>
      <c r="AN114" s="503" t="str">
        <f>VLOOKUP(A114,mapa!B:I,MATCH('Dane podst. zamówienia'!$A$32,mapa!$B$1:$I$1,0),0)</f>
        <v>1062-080-721S-MUF000</v>
      </c>
    </row>
    <row r="115" spans="1:40" s="3" customFormat="1" ht="22.15" customHeight="1" thickBot="1">
      <c r="A115" s="308" t="str">
        <f t="shared" si="34"/>
        <v>080-KOL067</v>
      </c>
      <c r="B115" s="440" t="s">
        <v>219</v>
      </c>
      <c r="C115" s="437" t="s">
        <v>226</v>
      </c>
      <c r="D115" s="442" t="s">
        <v>227</v>
      </c>
      <c r="E115" s="467">
        <f>VLOOKUP(C115,Szacunek!$B$1:$H$192,7,0)*WYKON_KALK</f>
        <v>0</v>
      </c>
      <c r="F115" s="59"/>
      <c r="G115" s="39"/>
      <c r="H115" s="59"/>
      <c r="I115" s="39"/>
      <c r="J115" s="39"/>
      <c r="K115" s="39"/>
      <c r="L115" s="39"/>
      <c r="M115" s="100"/>
      <c r="N115" s="475" t="s">
        <v>592</v>
      </c>
      <c r="O115" s="343"/>
      <c r="P115" s="343"/>
      <c r="Q115" s="343"/>
      <c r="R115" s="343"/>
      <c r="S115" s="662">
        <v>38.799999999999997</v>
      </c>
      <c r="T115" s="663"/>
      <c r="U115" s="664"/>
      <c r="V115" s="253"/>
      <c r="W115" s="562"/>
      <c r="X115" s="562">
        <f t="shared" si="35"/>
        <v>0</v>
      </c>
      <c r="Y115" s="562">
        <f t="shared" si="36"/>
        <v>0</v>
      </c>
      <c r="Z115" s="563">
        <f t="shared" si="37"/>
        <v>0</v>
      </c>
      <c r="AA115" s="562">
        <f t="shared" si="38"/>
        <v>0</v>
      </c>
      <c r="AB115" s="562">
        <f t="shared" si="39"/>
        <v>0</v>
      </c>
      <c r="AC115" s="562">
        <f t="shared" si="40"/>
        <v>0</v>
      </c>
      <c r="AD115" s="161"/>
      <c r="AE115" s="358"/>
      <c r="AN115" s="503" t="str">
        <f>VLOOKUP(A115,mapa!B:I,MATCH('Dane podst. zamówienia'!$A$32,mapa!$B$1:$I$1,0),0)</f>
        <v>1022-080-721S-KOL067</v>
      </c>
    </row>
    <row r="116" spans="1:40" s="3" customFormat="1" ht="22.15" customHeight="1" thickBot="1">
      <c r="A116" s="308" t="str">
        <f t="shared" si="34"/>
        <v>080-KEL000</v>
      </c>
      <c r="B116" s="440" t="s">
        <v>220</v>
      </c>
      <c r="C116" s="437" t="s">
        <v>228</v>
      </c>
      <c r="D116" s="442" t="s">
        <v>229</v>
      </c>
      <c r="E116" s="467">
        <f>VLOOKUP(C116,Szacunek!$B$1:$H$192,7,0)*WYKON_KALK</f>
        <v>0</v>
      </c>
      <c r="F116" s="431"/>
      <c r="G116" s="39"/>
      <c r="H116" s="59"/>
      <c r="I116" s="39"/>
      <c r="J116" s="39"/>
      <c r="K116" s="39"/>
      <c r="L116" s="39"/>
      <c r="M116" s="100"/>
      <c r="N116" s="475" t="s">
        <v>592</v>
      </c>
      <c r="O116" s="343"/>
      <c r="P116" s="343"/>
      <c r="Q116" s="343"/>
      <c r="R116" s="343"/>
      <c r="S116" s="662">
        <v>52.8</v>
      </c>
      <c r="T116" s="663"/>
      <c r="U116" s="664"/>
      <c r="V116" s="253"/>
      <c r="W116" s="562"/>
      <c r="X116" s="562">
        <f t="shared" si="35"/>
        <v>0</v>
      </c>
      <c r="Y116" s="562">
        <f t="shared" si="36"/>
        <v>0</v>
      </c>
      <c r="Z116" s="563">
        <f t="shared" si="37"/>
        <v>0</v>
      </c>
      <c r="AA116" s="562">
        <f t="shared" si="38"/>
        <v>0</v>
      </c>
      <c r="AB116" s="562">
        <f t="shared" si="39"/>
        <v>0</v>
      </c>
      <c r="AC116" s="562">
        <f t="shared" si="40"/>
        <v>0</v>
      </c>
      <c r="AD116" s="161"/>
      <c r="AE116" s="358"/>
      <c r="AN116" s="503" t="str">
        <f>VLOOKUP(A116,mapa!B:I,MATCH('Dane podst. zamówienia'!$A$32,mapa!$B$1:$I$1,0),0)</f>
        <v>1062-080-905S-KEL000</v>
      </c>
    </row>
    <row r="117" spans="1:40" s="3" customFormat="1" ht="22.15" customHeight="1" thickBot="1">
      <c r="A117" s="308" t="str">
        <f t="shared" si="34"/>
        <v>080-KOBXXX</v>
      </c>
      <c r="B117" s="440" t="s">
        <v>725</v>
      </c>
      <c r="C117" s="437" t="s">
        <v>230</v>
      </c>
      <c r="D117" s="442" t="s">
        <v>35</v>
      </c>
      <c r="E117" s="467">
        <f>VLOOKUP(C117,Szacunek!$B$1:$H$192,7,0)*WYKON_KALK</f>
        <v>0</v>
      </c>
      <c r="F117" s="59"/>
      <c r="G117" s="39"/>
      <c r="H117" s="59"/>
      <c r="I117" s="39"/>
      <c r="J117" s="39"/>
      <c r="K117" s="39"/>
      <c r="L117" s="39"/>
      <c r="M117" s="100"/>
      <c r="N117" s="475" t="s">
        <v>592</v>
      </c>
      <c r="O117" s="343"/>
      <c r="P117" s="343"/>
      <c r="Q117" s="343"/>
      <c r="R117" s="343"/>
      <c r="S117" s="662">
        <v>180.8</v>
      </c>
      <c r="T117" s="663"/>
      <c r="U117" s="664"/>
      <c r="V117" s="253"/>
      <c r="W117" s="562"/>
      <c r="X117" s="562">
        <f t="shared" si="35"/>
        <v>0</v>
      </c>
      <c r="Y117" s="562">
        <f t="shared" si="36"/>
        <v>0</v>
      </c>
      <c r="Z117" s="563">
        <f t="shared" si="37"/>
        <v>0</v>
      </c>
      <c r="AA117" s="562">
        <f t="shared" si="38"/>
        <v>0</v>
      </c>
      <c r="AB117" s="562">
        <f t="shared" si="39"/>
        <v>0</v>
      </c>
      <c r="AC117" s="562">
        <f t="shared" si="40"/>
        <v>0</v>
      </c>
      <c r="AD117" s="161"/>
      <c r="AE117" s="358"/>
      <c r="AN117" s="503" t="str">
        <f>VLOOKUP(A117,mapa!B:I,MATCH('Dane podst. zamówienia'!$A$32,mapa!$B$1:$I$1,0),0)</f>
        <v>1022-080-721S-KOBXXX</v>
      </c>
    </row>
    <row r="118" spans="1:40" s="3" customFormat="1" ht="22.15" customHeight="1" thickBot="1">
      <c r="A118" s="308" t="str">
        <f t="shared" si="34"/>
        <v>080-OBS000</v>
      </c>
      <c r="B118" s="440" t="s">
        <v>221</v>
      </c>
      <c r="C118" s="437" t="s">
        <v>231</v>
      </c>
      <c r="D118" s="442" t="s">
        <v>232</v>
      </c>
      <c r="E118" s="467">
        <f>VLOOKUP(C118,Szacunek!$B$1:$H$192,7,0)*WYKON_KALK</f>
        <v>0</v>
      </c>
      <c r="F118" s="59"/>
      <c r="G118" s="39"/>
      <c r="H118" s="59"/>
      <c r="I118" s="39"/>
      <c r="J118" s="39"/>
      <c r="K118" s="39"/>
      <c r="L118" s="39"/>
      <c r="M118" s="100"/>
      <c r="N118" s="475" t="s">
        <v>592</v>
      </c>
      <c r="O118" s="343"/>
      <c r="P118" s="343"/>
      <c r="Q118" s="343"/>
      <c r="R118" s="343"/>
      <c r="S118" s="662">
        <v>13.1</v>
      </c>
      <c r="T118" s="663"/>
      <c r="U118" s="664"/>
      <c r="V118" s="253"/>
      <c r="W118" s="562"/>
      <c r="X118" s="562">
        <f t="shared" si="35"/>
        <v>0</v>
      </c>
      <c r="Y118" s="562">
        <f t="shared" si="36"/>
        <v>0</v>
      </c>
      <c r="Z118" s="563">
        <f t="shared" si="37"/>
        <v>0</v>
      </c>
      <c r="AA118" s="562">
        <f t="shared" si="38"/>
        <v>0</v>
      </c>
      <c r="AB118" s="562">
        <f t="shared" si="39"/>
        <v>0</v>
      </c>
      <c r="AC118" s="562">
        <f t="shared" si="40"/>
        <v>0</v>
      </c>
      <c r="AD118" s="161"/>
      <c r="AE118" s="358"/>
      <c r="AN118" s="503" t="str">
        <f>VLOOKUP(A118,mapa!B:I,MATCH('Dane podst. zamówienia'!$A$32,mapa!$B$1:$I$1,0),0)</f>
        <v>1022-080-721S-OBS000</v>
      </c>
    </row>
    <row r="119" spans="1:40" s="3" customFormat="1" ht="11.45" customHeight="1">
      <c r="A119" s="262"/>
      <c r="B119" s="719" t="s">
        <v>729</v>
      </c>
      <c r="C119" s="719"/>
      <c r="D119" s="523"/>
      <c r="E119" s="430" t="s">
        <v>299</v>
      </c>
      <c r="F119" s="58"/>
      <c r="G119" s="58"/>
      <c r="H119" s="67"/>
      <c r="I119" s="67"/>
      <c r="J119" s="43"/>
      <c r="K119" s="43"/>
      <c r="L119" s="43"/>
      <c r="M119" s="100"/>
      <c r="N119" s="484"/>
      <c r="O119" s="343"/>
      <c r="P119" s="343"/>
      <c r="Q119" s="343"/>
      <c r="R119" s="343"/>
      <c r="S119" s="345"/>
      <c r="T119" s="345"/>
      <c r="U119" s="345"/>
      <c r="V119" s="253"/>
      <c r="W119" s="562"/>
      <c r="X119" s="562"/>
      <c r="Y119" s="562"/>
      <c r="Z119" s="562"/>
      <c r="AA119" s="562"/>
      <c r="AB119" s="562"/>
      <c r="AC119" s="562"/>
      <c r="AD119" s="162"/>
      <c r="AE119" s="358"/>
      <c r="AN119" s="386"/>
    </row>
    <row r="120" spans="1:40" s="3" customFormat="1">
      <c r="A120" s="262"/>
      <c r="B120" s="720"/>
      <c r="C120" s="720"/>
      <c r="D120" s="665" t="s">
        <v>184</v>
      </c>
      <c r="E120" s="58"/>
      <c r="F120" s="58"/>
      <c r="G120" s="58"/>
      <c r="H120" s="67"/>
      <c r="I120" s="67"/>
      <c r="J120" s="43"/>
      <c r="K120" s="43"/>
      <c r="L120" s="43"/>
      <c r="M120" s="100"/>
      <c r="N120" s="484"/>
      <c r="O120" s="343"/>
      <c r="P120" s="343"/>
      <c r="Q120" s="343"/>
      <c r="R120" s="343"/>
      <c r="S120" s="345"/>
      <c r="T120" s="345"/>
      <c r="U120" s="345"/>
      <c r="V120" s="253"/>
      <c r="W120" s="562"/>
      <c r="X120" s="562"/>
      <c r="Y120" s="562"/>
      <c r="Z120" s="562"/>
      <c r="AA120" s="562"/>
      <c r="AB120" s="562"/>
      <c r="AC120" s="562"/>
      <c r="AD120" s="162"/>
      <c r="AE120" s="358"/>
      <c r="AN120" s="386"/>
    </row>
    <row r="121" spans="1:40" s="3" customFormat="1" ht="22.15" customHeight="1" thickBot="1">
      <c r="A121" s="262"/>
      <c r="B121" s="449" t="s">
        <v>238</v>
      </c>
      <c r="C121" s="45" t="s">
        <v>0</v>
      </c>
      <c r="D121" s="666"/>
      <c r="E121" s="58" t="s">
        <v>185</v>
      </c>
      <c r="F121" s="46" t="s">
        <v>667</v>
      </c>
      <c r="G121" s="58"/>
      <c r="H121" s="67"/>
      <c r="I121" s="67"/>
      <c r="J121" s="43"/>
      <c r="K121" s="43"/>
      <c r="L121" s="43"/>
      <c r="M121" s="100"/>
      <c r="N121" s="484"/>
      <c r="O121" s="343"/>
      <c r="P121" s="343"/>
      <c r="Q121" s="343"/>
      <c r="R121" s="343"/>
      <c r="S121" s="345"/>
      <c r="T121" s="345"/>
      <c r="U121" s="345"/>
      <c r="V121" s="253"/>
      <c r="W121" s="562"/>
      <c r="X121" s="562"/>
      <c r="Y121" s="562"/>
      <c r="Z121" s="562"/>
      <c r="AA121" s="562"/>
      <c r="AB121" s="562"/>
      <c r="AC121" s="562"/>
      <c r="AD121" s="162"/>
      <c r="AE121" s="358"/>
      <c r="AN121" s="386"/>
    </row>
    <row r="122" spans="1:40" s="3" customFormat="1" ht="22.15" customHeight="1" thickBot="1">
      <c r="A122" s="262"/>
      <c r="B122" s="440" t="s">
        <v>239</v>
      </c>
      <c r="C122" s="437" t="s">
        <v>262</v>
      </c>
      <c r="D122" s="442" t="s">
        <v>35</v>
      </c>
      <c r="E122" s="374">
        <f>VLOOKUP(C122,Szacunek!$B$1:$H$192,7,0)*WYKON_KALK</f>
        <v>0</v>
      </c>
      <c r="F122" s="59"/>
      <c r="G122" s="58"/>
      <c r="H122" s="67"/>
      <c r="I122" s="67"/>
      <c r="J122" s="43"/>
      <c r="K122" s="43"/>
      <c r="L122" s="43"/>
      <c r="M122" s="102"/>
      <c r="N122" s="475" t="s">
        <v>592</v>
      </c>
      <c r="O122" s="343"/>
      <c r="P122" s="343"/>
      <c r="Q122" s="343"/>
      <c r="R122" s="343"/>
      <c r="S122" s="662">
        <v>41.5</v>
      </c>
      <c r="T122" s="663"/>
      <c r="U122" s="664"/>
      <c r="V122" s="253"/>
      <c r="W122" s="562"/>
      <c r="X122" s="562">
        <f>F122*S122</f>
        <v>0</v>
      </c>
      <c r="Y122" s="562">
        <f t="shared" si="36"/>
        <v>0</v>
      </c>
      <c r="Z122" s="563">
        <f t="shared" ref="Z122:Z140" si="41">VLOOKUP(N122,$A$190:$C$195,3,0)</f>
        <v>0</v>
      </c>
      <c r="AA122" s="562">
        <f t="shared" ref="AA122:AA140" si="42">Y122-(Y122*Z122)</f>
        <v>0</v>
      </c>
      <c r="AB122" s="562">
        <f t="shared" ref="AB122:AB140" si="43">S122*E122</f>
        <v>0</v>
      </c>
      <c r="AC122" s="562">
        <f t="shared" ref="AC122:AC140" si="44">AB122-(Z122*AB122)</f>
        <v>0</v>
      </c>
      <c r="AD122" s="161"/>
      <c r="AE122" s="358"/>
      <c r="AF122" s="642"/>
      <c r="AG122" s="642"/>
      <c r="AN122" s="503" t="str">
        <f>C122</f>
        <v>1110-020-000X-USB700</v>
      </c>
    </row>
    <row r="123" spans="1:40" s="3" customFormat="1" ht="22.15" customHeight="1" thickBot="1">
      <c r="A123" s="262"/>
      <c r="B123" s="440" t="s">
        <v>240</v>
      </c>
      <c r="C123" s="437" t="s">
        <v>263</v>
      </c>
      <c r="D123" s="442" t="s">
        <v>35</v>
      </c>
      <c r="E123" s="374">
        <f>VLOOKUP(C123,Szacunek!$B$1:$H$192,7,0)*WYKON_KALK</f>
        <v>0</v>
      </c>
      <c r="F123" s="59"/>
      <c r="G123" s="58"/>
      <c r="H123" s="67"/>
      <c r="I123" s="67"/>
      <c r="J123" s="43"/>
      <c r="K123" s="43"/>
      <c r="L123" s="43"/>
      <c r="M123" s="102"/>
      <c r="N123" s="475" t="s">
        <v>592</v>
      </c>
      <c r="O123" s="343"/>
      <c r="P123" s="343"/>
      <c r="Q123" s="343"/>
      <c r="R123" s="343"/>
      <c r="S123" s="662">
        <v>58</v>
      </c>
      <c r="T123" s="663"/>
      <c r="U123" s="664"/>
      <c r="V123" s="253"/>
      <c r="W123" s="562"/>
      <c r="X123" s="562">
        <f t="shared" ref="X123:X139" si="45">F123*S123</f>
        <v>0</v>
      </c>
      <c r="Y123" s="562">
        <f t="shared" si="36"/>
        <v>0</v>
      </c>
      <c r="Z123" s="563">
        <f t="shared" si="41"/>
        <v>0</v>
      </c>
      <c r="AA123" s="562">
        <f t="shared" si="42"/>
        <v>0</v>
      </c>
      <c r="AB123" s="562">
        <f t="shared" si="43"/>
        <v>0</v>
      </c>
      <c r="AC123" s="562">
        <f t="shared" si="44"/>
        <v>0</v>
      </c>
      <c r="AD123" s="161"/>
      <c r="AE123" s="358"/>
      <c r="AF123" s="642"/>
      <c r="AG123" s="642"/>
      <c r="AN123" s="503" t="str">
        <f t="shared" ref="AN123:AN139" si="46">C123</f>
        <v>1110-000-905S-MKU000</v>
      </c>
    </row>
    <row r="124" spans="1:40" s="3" customFormat="1" ht="22.15" customHeight="1" thickBot="1">
      <c r="A124" s="262"/>
      <c r="B124" s="440" t="s">
        <v>241</v>
      </c>
      <c r="C124" s="437" t="s">
        <v>264</v>
      </c>
      <c r="D124" s="442" t="s">
        <v>35</v>
      </c>
      <c r="E124" s="374">
        <f>VLOOKUP(C124,Szacunek!$B$1:$H$192,7,0)*WYKON_KALK</f>
        <v>0</v>
      </c>
      <c r="F124" s="59"/>
      <c r="G124" s="58"/>
      <c r="H124" s="67"/>
      <c r="I124" s="67"/>
      <c r="J124" s="43"/>
      <c r="K124" s="43"/>
      <c r="L124" s="43"/>
      <c r="M124" s="103"/>
      <c r="N124" s="475" t="s">
        <v>592</v>
      </c>
      <c r="O124" s="343"/>
      <c r="P124" s="343"/>
      <c r="Q124" s="343"/>
      <c r="R124" s="343"/>
      <c r="S124" s="662">
        <v>84</v>
      </c>
      <c r="T124" s="663"/>
      <c r="U124" s="664"/>
      <c r="V124" s="253"/>
      <c r="W124" s="562"/>
      <c r="X124" s="562">
        <f t="shared" si="45"/>
        <v>0</v>
      </c>
      <c r="Y124" s="562">
        <f t="shared" si="36"/>
        <v>0</v>
      </c>
      <c r="Z124" s="563">
        <f t="shared" si="41"/>
        <v>0</v>
      </c>
      <c r="AA124" s="562">
        <f t="shared" si="42"/>
        <v>0</v>
      </c>
      <c r="AB124" s="562">
        <f t="shared" si="43"/>
        <v>0</v>
      </c>
      <c r="AC124" s="562">
        <f t="shared" si="44"/>
        <v>0</v>
      </c>
      <c r="AD124" s="161"/>
      <c r="AE124" s="358"/>
      <c r="AF124" s="642"/>
      <c r="AG124" s="642"/>
      <c r="AN124" s="503" t="str">
        <f t="shared" si="46"/>
        <v>1062-080-000X-RUT120</v>
      </c>
    </row>
    <row r="125" spans="1:40" s="3" customFormat="1" ht="27.6" customHeight="1" thickBot="1">
      <c r="A125" s="262"/>
      <c r="B125" s="440" t="s">
        <v>242</v>
      </c>
      <c r="C125" s="437" t="s">
        <v>265</v>
      </c>
      <c r="D125" s="442" t="s">
        <v>35</v>
      </c>
      <c r="E125" s="374">
        <f>VLOOKUP(C125,Szacunek!$B$1:$H$192,7,0)*WYKON_KALK</f>
        <v>0</v>
      </c>
      <c r="F125" s="59"/>
      <c r="G125" s="58"/>
      <c r="H125" s="67"/>
      <c r="I125" s="67"/>
      <c r="J125" s="43"/>
      <c r="K125" s="43"/>
      <c r="L125" s="43"/>
      <c r="M125" s="103"/>
      <c r="N125" s="475" t="s">
        <v>592</v>
      </c>
      <c r="O125" s="343"/>
      <c r="P125" s="343"/>
      <c r="Q125" s="343"/>
      <c r="R125" s="343"/>
      <c r="S125" s="662">
        <v>174.6</v>
      </c>
      <c r="T125" s="663"/>
      <c r="U125" s="664"/>
      <c r="V125" s="253"/>
      <c r="W125" s="562"/>
      <c r="X125" s="562">
        <f t="shared" si="45"/>
        <v>0</v>
      </c>
      <c r="Y125" s="562">
        <f t="shared" si="36"/>
        <v>0</v>
      </c>
      <c r="Z125" s="563">
        <f t="shared" si="41"/>
        <v>0</v>
      </c>
      <c r="AA125" s="562">
        <f t="shared" si="42"/>
        <v>0</v>
      </c>
      <c r="AB125" s="562">
        <f t="shared" si="43"/>
        <v>0</v>
      </c>
      <c r="AC125" s="562">
        <f t="shared" si="44"/>
        <v>0</v>
      </c>
      <c r="AD125" s="161"/>
      <c r="AE125" s="358"/>
      <c r="AF125" s="642"/>
      <c r="AG125" s="642"/>
      <c r="AN125" s="503" t="str">
        <f t="shared" si="46"/>
        <v>1003-300-905S-SSU300</v>
      </c>
    </row>
    <row r="126" spans="1:40" s="3" customFormat="1" ht="22.15" customHeight="1" thickBot="1">
      <c r="A126" s="262"/>
      <c r="B126" s="440" t="s">
        <v>243</v>
      </c>
      <c r="C126" s="437" t="s">
        <v>266</v>
      </c>
      <c r="D126" s="442" t="s">
        <v>35</v>
      </c>
      <c r="E126" s="374">
        <f>VLOOKUP(C126,Szacunek!$B$1:$H$192,7,0)*WYKON_KALK</f>
        <v>0</v>
      </c>
      <c r="F126" s="59"/>
      <c r="G126" s="58"/>
      <c r="H126" s="67"/>
      <c r="I126" s="67"/>
      <c r="J126" s="43"/>
      <c r="K126" s="43"/>
      <c r="L126" s="43"/>
      <c r="M126" s="103"/>
      <c r="N126" s="475" t="s">
        <v>592</v>
      </c>
      <c r="O126" s="343"/>
      <c r="P126" s="343"/>
      <c r="Q126" s="343"/>
      <c r="R126" s="343"/>
      <c r="S126" s="662">
        <v>66.2</v>
      </c>
      <c r="T126" s="663"/>
      <c r="U126" s="664"/>
      <c r="V126" s="253"/>
      <c r="W126" s="562"/>
      <c r="X126" s="562">
        <f t="shared" si="45"/>
        <v>0</v>
      </c>
      <c r="Y126" s="562">
        <f t="shared" si="36"/>
        <v>0</v>
      </c>
      <c r="Z126" s="563">
        <f t="shared" si="41"/>
        <v>0</v>
      </c>
      <c r="AA126" s="562">
        <f t="shared" si="42"/>
        <v>0</v>
      </c>
      <c r="AB126" s="562">
        <f t="shared" si="43"/>
        <v>0</v>
      </c>
      <c r="AC126" s="562">
        <f t="shared" si="44"/>
        <v>0</v>
      </c>
      <c r="AD126" s="161"/>
      <c r="AE126" s="358"/>
      <c r="AF126" s="642"/>
      <c r="AG126" s="642"/>
      <c r="AN126" s="503" t="str">
        <f t="shared" si="46"/>
        <v>1003-300-905S-SSN300</v>
      </c>
    </row>
    <row r="127" spans="1:40" s="3" customFormat="1" ht="22.15" customHeight="1" thickBot="1">
      <c r="A127" s="262"/>
      <c r="B127" s="440" t="s">
        <v>244</v>
      </c>
      <c r="C127" s="437" t="s">
        <v>267</v>
      </c>
      <c r="D127" s="442" t="s">
        <v>194</v>
      </c>
      <c r="E127" s="374">
        <f>VLOOKUP(C127,Szacunek!$B$1:$H$192,7,0)*WYKON_KALK</f>
        <v>0</v>
      </c>
      <c r="F127" s="59"/>
      <c r="G127" s="58"/>
      <c r="H127" s="67"/>
      <c r="I127" s="67"/>
      <c r="J127" s="43"/>
      <c r="K127" s="43"/>
      <c r="L127" s="43"/>
      <c r="M127" s="103"/>
      <c r="N127" s="475" t="s">
        <v>592</v>
      </c>
      <c r="O127" s="343"/>
      <c r="P127" s="343"/>
      <c r="Q127" s="343"/>
      <c r="R127" s="343"/>
      <c r="S127" s="662">
        <v>17.399999999999999</v>
      </c>
      <c r="T127" s="663"/>
      <c r="U127" s="664"/>
      <c r="V127" s="253"/>
      <c r="W127" s="562"/>
      <c r="X127" s="562">
        <f t="shared" si="45"/>
        <v>0</v>
      </c>
      <c r="Y127" s="562">
        <f t="shared" si="36"/>
        <v>0</v>
      </c>
      <c r="Z127" s="563">
        <f t="shared" si="41"/>
        <v>0</v>
      </c>
      <c r="AA127" s="562">
        <f t="shared" si="42"/>
        <v>0</v>
      </c>
      <c r="AB127" s="562">
        <f t="shared" si="43"/>
        <v>0</v>
      </c>
      <c r="AC127" s="562">
        <f t="shared" si="44"/>
        <v>0</v>
      </c>
      <c r="AD127" s="161"/>
      <c r="AE127" s="358"/>
      <c r="AF127" s="642"/>
      <c r="AG127" s="642"/>
      <c r="AN127" s="503" t="str">
        <f t="shared" si="46"/>
        <v>1003-110-738S-KOK088</v>
      </c>
    </row>
    <row r="128" spans="1:40" s="3" customFormat="1" ht="22.15" customHeight="1" thickBot="1">
      <c r="A128" s="262"/>
      <c r="B128" s="440" t="s">
        <v>245</v>
      </c>
      <c r="C128" s="437" t="s">
        <v>268</v>
      </c>
      <c r="D128" s="442" t="s">
        <v>34</v>
      </c>
      <c r="E128" s="374">
        <f>VLOOKUP(C128,Szacunek!$B$1:$H$192,7,0)*WYKON_KALK</f>
        <v>0</v>
      </c>
      <c r="F128" s="59"/>
      <c r="G128" s="58"/>
      <c r="H128" s="67"/>
      <c r="I128" s="67"/>
      <c r="J128" s="43"/>
      <c r="K128" s="43"/>
      <c r="L128" s="43"/>
      <c r="M128" s="103"/>
      <c r="N128" s="475" t="s">
        <v>592</v>
      </c>
      <c r="O128" s="343"/>
      <c r="P128" s="343"/>
      <c r="Q128" s="343"/>
      <c r="R128" s="343"/>
      <c r="S128" s="662">
        <v>14.1</v>
      </c>
      <c r="T128" s="663"/>
      <c r="U128" s="664"/>
      <c r="V128" s="253"/>
      <c r="W128" s="562"/>
      <c r="X128" s="562">
        <f t="shared" si="45"/>
        <v>0</v>
      </c>
      <c r="Y128" s="562">
        <f t="shared" si="36"/>
        <v>0</v>
      </c>
      <c r="Z128" s="563">
        <f t="shared" si="41"/>
        <v>0</v>
      </c>
      <c r="AA128" s="562">
        <f t="shared" si="42"/>
        <v>0</v>
      </c>
      <c r="AB128" s="562">
        <f t="shared" si="43"/>
        <v>0</v>
      </c>
      <c r="AC128" s="562">
        <f t="shared" si="44"/>
        <v>0</v>
      </c>
      <c r="AD128" s="161"/>
      <c r="AE128" s="358"/>
      <c r="AF128" s="642"/>
      <c r="AG128" s="642"/>
      <c r="AN128" s="503" t="str">
        <f t="shared" si="46"/>
        <v>1000-110-923S-OBS000</v>
      </c>
    </row>
    <row r="129" spans="1:40" s="3" customFormat="1" ht="22.15" customHeight="1" thickBot="1">
      <c r="A129" s="262"/>
      <c r="B129" s="440" t="s">
        <v>246</v>
      </c>
      <c r="C129" s="437" t="s">
        <v>269</v>
      </c>
      <c r="D129" s="442" t="s">
        <v>35</v>
      </c>
      <c r="E129" s="374">
        <f>VLOOKUP(C129,Szacunek!$B$1:$H$192,7,0)*WYKON_KALK</f>
        <v>0</v>
      </c>
      <c r="F129" s="59"/>
      <c r="G129" s="58"/>
      <c r="H129" s="67"/>
      <c r="I129" s="67"/>
      <c r="J129" s="43"/>
      <c r="K129" s="43"/>
      <c r="L129" s="43"/>
      <c r="M129" s="100"/>
      <c r="N129" s="475" t="s">
        <v>592</v>
      </c>
      <c r="O129" s="343"/>
      <c r="P129" s="343"/>
      <c r="Q129" s="343"/>
      <c r="R129" s="343"/>
      <c r="S129" s="662">
        <v>33.9</v>
      </c>
      <c r="T129" s="663"/>
      <c r="U129" s="664"/>
      <c r="V129" s="253"/>
      <c r="W129" s="562"/>
      <c r="X129" s="562">
        <f t="shared" si="45"/>
        <v>0</v>
      </c>
      <c r="Y129" s="562">
        <f t="shared" si="36"/>
        <v>0</v>
      </c>
      <c r="Z129" s="563">
        <f t="shared" si="41"/>
        <v>0</v>
      </c>
      <c r="AA129" s="562">
        <f t="shared" si="42"/>
        <v>0</v>
      </c>
      <c r="AB129" s="562">
        <f t="shared" si="43"/>
        <v>0</v>
      </c>
      <c r="AC129" s="562">
        <f t="shared" si="44"/>
        <v>0</v>
      </c>
      <c r="AD129" s="161"/>
      <c r="AE129" s="358"/>
      <c r="AF129" s="642"/>
      <c r="AG129" s="642"/>
      <c r="AN129" s="503" t="str">
        <f t="shared" si="46"/>
        <v>1003-110-738S-RUK100</v>
      </c>
    </row>
    <row r="130" spans="1:40" s="3" customFormat="1" ht="22.15" customHeight="1" thickBot="1">
      <c r="A130" s="262"/>
      <c r="B130" s="440" t="s">
        <v>247</v>
      </c>
      <c r="C130" s="437" t="s">
        <v>270</v>
      </c>
      <c r="D130" s="442" t="s">
        <v>255</v>
      </c>
      <c r="E130" s="374">
        <f>VLOOKUP(C130,Szacunek!$B$1:$H$192,7,0)*WYKON_KALK</f>
        <v>0</v>
      </c>
      <c r="F130" s="59"/>
      <c r="G130" s="58"/>
      <c r="H130" s="67"/>
      <c r="I130" s="67"/>
      <c r="J130" s="43"/>
      <c r="K130" s="43"/>
      <c r="L130" s="43"/>
      <c r="M130" s="101"/>
      <c r="N130" s="475" t="s">
        <v>592</v>
      </c>
      <c r="O130" s="343"/>
      <c r="P130" s="343"/>
      <c r="Q130" s="343"/>
      <c r="R130" s="343"/>
      <c r="S130" s="662">
        <v>10.1</v>
      </c>
      <c r="T130" s="663"/>
      <c r="U130" s="664"/>
      <c r="V130" s="253"/>
      <c r="W130" s="562"/>
      <c r="X130" s="562">
        <f t="shared" si="45"/>
        <v>0</v>
      </c>
      <c r="Y130" s="562">
        <f t="shared" si="36"/>
        <v>0</v>
      </c>
      <c r="Z130" s="563">
        <f t="shared" si="41"/>
        <v>0</v>
      </c>
      <c r="AA130" s="562">
        <f t="shared" si="42"/>
        <v>0</v>
      </c>
      <c r="AB130" s="562">
        <f t="shared" si="43"/>
        <v>0</v>
      </c>
      <c r="AC130" s="562">
        <f t="shared" si="44"/>
        <v>0</v>
      </c>
      <c r="AD130" s="161"/>
      <c r="AE130" s="358"/>
      <c r="AF130" s="642"/>
      <c r="AG130" s="642"/>
      <c r="AN130" s="503" t="str">
        <f t="shared" si="46"/>
        <v>1003-080-738S-RED110</v>
      </c>
    </row>
    <row r="131" spans="1:40" s="3" customFormat="1" ht="22.15" customHeight="1" thickBot="1">
      <c r="A131" s="262"/>
      <c r="B131" s="440" t="s">
        <v>248</v>
      </c>
      <c r="C131" s="437" t="s">
        <v>271</v>
      </c>
      <c r="D131" s="442" t="s">
        <v>256</v>
      </c>
      <c r="E131" s="374">
        <f>VLOOKUP(C131,Szacunek!$B$1:$H$192,7,0)*WYKON_KALK</f>
        <v>0</v>
      </c>
      <c r="F131" s="59"/>
      <c r="G131" s="58"/>
      <c r="H131" s="67"/>
      <c r="I131" s="67"/>
      <c r="J131" s="43"/>
      <c r="K131" s="43"/>
      <c r="L131" s="43"/>
      <c r="M131" s="100"/>
      <c r="N131" s="475" t="s">
        <v>592</v>
      </c>
      <c r="O131" s="343"/>
      <c r="P131" s="343"/>
      <c r="Q131" s="343"/>
      <c r="R131" s="343"/>
      <c r="S131" s="662">
        <v>4.2</v>
      </c>
      <c r="T131" s="663"/>
      <c r="U131" s="664"/>
      <c r="V131" s="253"/>
      <c r="W131" s="562"/>
      <c r="X131" s="562">
        <f t="shared" si="45"/>
        <v>0</v>
      </c>
      <c r="Y131" s="562">
        <f t="shared" si="36"/>
        <v>0</v>
      </c>
      <c r="Z131" s="563">
        <f t="shared" si="41"/>
        <v>0</v>
      </c>
      <c r="AA131" s="562">
        <f t="shared" si="42"/>
        <v>0</v>
      </c>
      <c r="AB131" s="562">
        <f t="shared" si="43"/>
        <v>0</v>
      </c>
      <c r="AC131" s="562">
        <f t="shared" si="44"/>
        <v>0</v>
      </c>
      <c r="AD131" s="161"/>
      <c r="AE131" s="358"/>
      <c r="AF131" s="642"/>
      <c r="AG131" s="642"/>
      <c r="AN131" s="503" t="str">
        <f t="shared" si="46"/>
        <v>1000-000-000X-KDW100</v>
      </c>
    </row>
    <row r="132" spans="1:40" s="3" customFormat="1" ht="22.15" customHeight="1" thickBot="1">
      <c r="A132" s="262"/>
      <c r="B132" s="440" t="s">
        <v>249</v>
      </c>
      <c r="C132" s="437" t="s">
        <v>272</v>
      </c>
      <c r="D132" s="442" t="s">
        <v>257</v>
      </c>
      <c r="E132" s="374">
        <f>VLOOKUP(C132,Szacunek!$B$1:$H$192,7,0)*WYKON_KALK</f>
        <v>0</v>
      </c>
      <c r="F132" s="59"/>
      <c r="G132" s="58"/>
      <c r="H132" s="67"/>
      <c r="I132" s="67"/>
      <c r="J132" s="43"/>
      <c r="K132" s="43"/>
      <c r="L132" s="43"/>
      <c r="M132" s="100"/>
      <c r="N132" s="475" t="s">
        <v>592</v>
      </c>
      <c r="O132" s="343"/>
      <c r="P132" s="343"/>
      <c r="Q132" s="343"/>
      <c r="R132" s="343"/>
      <c r="S132" s="662">
        <v>5.0999999999999996</v>
      </c>
      <c r="T132" s="663"/>
      <c r="U132" s="664"/>
      <c r="V132" s="253"/>
      <c r="W132" s="562"/>
      <c r="X132" s="562">
        <f t="shared" si="45"/>
        <v>0</v>
      </c>
      <c r="Y132" s="562">
        <f t="shared" si="36"/>
        <v>0</v>
      </c>
      <c r="Z132" s="563">
        <f t="shared" si="41"/>
        <v>0</v>
      </c>
      <c r="AA132" s="562">
        <f t="shared" si="42"/>
        <v>0</v>
      </c>
      <c r="AB132" s="562">
        <f t="shared" si="43"/>
        <v>0</v>
      </c>
      <c r="AC132" s="562">
        <f t="shared" si="44"/>
        <v>0</v>
      </c>
      <c r="AD132" s="161"/>
      <c r="AE132" s="358"/>
      <c r="AF132" s="642"/>
      <c r="AG132" s="642"/>
      <c r="AN132" s="503" t="str">
        <f t="shared" si="46"/>
        <v>1000-000-000X-KDW160</v>
      </c>
    </row>
    <row r="133" spans="1:40" s="3" customFormat="1" ht="22.15" customHeight="1" thickBot="1">
      <c r="A133" s="262"/>
      <c r="B133" s="440" t="s">
        <v>250</v>
      </c>
      <c r="C133" s="437" t="s">
        <v>273</v>
      </c>
      <c r="D133" s="442" t="s">
        <v>258</v>
      </c>
      <c r="E133" s="374">
        <f>VLOOKUP(C133,Szacunek!$B$1:$H$192,7,0)*WYKON_KALK</f>
        <v>0</v>
      </c>
      <c r="F133" s="59"/>
      <c r="G133" s="58"/>
      <c r="H133" s="67"/>
      <c r="I133" s="67"/>
      <c r="J133" s="43"/>
      <c r="K133" s="43"/>
      <c r="L133" s="43"/>
      <c r="M133" s="100"/>
      <c r="N133" s="475" t="s">
        <v>592</v>
      </c>
      <c r="O133" s="343"/>
      <c r="P133" s="343"/>
      <c r="Q133" s="343"/>
      <c r="R133" s="343"/>
      <c r="S133" s="662">
        <v>5.5</v>
      </c>
      <c r="T133" s="663"/>
      <c r="U133" s="664"/>
      <c r="V133" s="253"/>
      <c r="W133" s="562"/>
      <c r="X133" s="562">
        <f t="shared" si="45"/>
        <v>0</v>
      </c>
      <c r="Y133" s="562">
        <f t="shared" si="36"/>
        <v>0</v>
      </c>
      <c r="Z133" s="563">
        <f t="shared" si="41"/>
        <v>0</v>
      </c>
      <c r="AA133" s="562">
        <f t="shared" si="42"/>
        <v>0</v>
      </c>
      <c r="AB133" s="562">
        <f t="shared" si="43"/>
        <v>0</v>
      </c>
      <c r="AC133" s="562">
        <f t="shared" si="44"/>
        <v>0</v>
      </c>
      <c r="AD133" s="161"/>
      <c r="AE133" s="358"/>
      <c r="AF133" s="642"/>
      <c r="AG133" s="642"/>
      <c r="AN133" s="503" t="str">
        <f t="shared" si="46"/>
        <v>1000-000-000X-KDW200</v>
      </c>
    </row>
    <row r="134" spans="1:40" s="3" customFormat="1" ht="22.15" customHeight="1" thickBot="1">
      <c r="A134" s="262"/>
      <c r="B134" s="440" t="s">
        <v>251</v>
      </c>
      <c r="C134" s="437" t="s">
        <v>274</v>
      </c>
      <c r="D134" s="442" t="s">
        <v>258</v>
      </c>
      <c r="E134" s="374">
        <f>VLOOKUP(C134,Szacunek!$B$1:$H$192,7,0)*WYKON_KALK</f>
        <v>0</v>
      </c>
      <c r="F134" s="59"/>
      <c r="G134" s="58"/>
      <c r="H134" s="67"/>
      <c r="I134" s="67"/>
      <c r="J134" s="43"/>
      <c r="K134" s="43"/>
      <c r="L134" s="43"/>
      <c r="M134" s="100"/>
      <c r="N134" s="475" t="s">
        <v>592</v>
      </c>
      <c r="O134" s="343"/>
      <c r="P134" s="343"/>
      <c r="Q134" s="343"/>
      <c r="R134" s="343"/>
      <c r="S134" s="662">
        <v>7.9</v>
      </c>
      <c r="T134" s="663"/>
      <c r="U134" s="664"/>
      <c r="V134" s="253"/>
      <c r="W134" s="562"/>
      <c r="X134" s="562">
        <f t="shared" si="45"/>
        <v>0</v>
      </c>
      <c r="Y134" s="562">
        <f t="shared" si="36"/>
        <v>0</v>
      </c>
      <c r="Z134" s="563">
        <f t="shared" si="41"/>
        <v>0</v>
      </c>
      <c r="AA134" s="562">
        <f t="shared" si="42"/>
        <v>0</v>
      </c>
      <c r="AB134" s="562">
        <f t="shared" si="43"/>
        <v>0</v>
      </c>
      <c r="AC134" s="562">
        <f t="shared" si="44"/>
        <v>0</v>
      </c>
      <c r="AD134" s="161"/>
      <c r="AE134" s="358"/>
      <c r="AF134" s="642"/>
      <c r="AG134" s="642"/>
      <c r="AN134" s="503" t="str">
        <f t="shared" si="46"/>
        <v>1000-000-000X-KDW260</v>
      </c>
    </row>
    <row r="135" spans="1:40" s="3" customFormat="1" ht="22.15" customHeight="1" thickBot="1">
      <c r="A135" s="262"/>
      <c r="B135" s="440" t="s">
        <v>252</v>
      </c>
      <c r="C135" s="437" t="s">
        <v>275</v>
      </c>
      <c r="D135" s="442" t="s">
        <v>258</v>
      </c>
      <c r="E135" s="374">
        <f>VLOOKUP(C135,Szacunek!$B$1:$H$192,7,0)*WYKON_KALK</f>
        <v>0</v>
      </c>
      <c r="F135" s="59"/>
      <c r="G135" s="58"/>
      <c r="H135" s="67"/>
      <c r="I135" s="67"/>
      <c r="J135" s="43"/>
      <c r="K135" s="43"/>
      <c r="L135" s="43"/>
      <c r="M135" s="100"/>
      <c r="N135" s="475" t="s">
        <v>592</v>
      </c>
      <c r="O135" s="343"/>
      <c r="P135" s="343"/>
      <c r="Q135" s="343"/>
      <c r="R135" s="343"/>
      <c r="S135" s="662">
        <v>10.1</v>
      </c>
      <c r="T135" s="663"/>
      <c r="U135" s="664"/>
      <c r="V135" s="253"/>
      <c r="W135" s="562"/>
      <c r="X135" s="562">
        <f t="shared" si="45"/>
        <v>0</v>
      </c>
      <c r="Y135" s="562">
        <f t="shared" si="36"/>
        <v>0</v>
      </c>
      <c r="Z135" s="563">
        <f t="shared" si="41"/>
        <v>0</v>
      </c>
      <c r="AA135" s="562">
        <f t="shared" si="42"/>
        <v>0</v>
      </c>
      <c r="AB135" s="562">
        <f t="shared" si="43"/>
        <v>0</v>
      </c>
      <c r="AC135" s="562">
        <f t="shared" si="44"/>
        <v>0</v>
      </c>
      <c r="AD135" s="161"/>
      <c r="AE135" s="358"/>
      <c r="AF135" s="642"/>
      <c r="AG135" s="642"/>
      <c r="AN135" s="503" t="str">
        <f>C135</f>
        <v>1000-000-000X-KDW300</v>
      </c>
    </row>
    <row r="136" spans="1:40" s="3" customFormat="1" ht="22.15" customHeight="1" thickBot="1">
      <c r="A136" s="262"/>
      <c r="B136" s="440" t="s">
        <v>769</v>
      </c>
      <c r="C136" s="437" t="s">
        <v>770</v>
      </c>
      <c r="D136" s="442" t="s">
        <v>771</v>
      </c>
      <c r="E136" s="374">
        <f>VLOOKUP(C136,Szacunek!$B$1:$H$192,7,0)*WYKON_KALK</f>
        <v>0</v>
      </c>
      <c r="F136" s="59"/>
      <c r="G136" s="58"/>
      <c r="H136" s="67"/>
      <c r="I136" s="67"/>
      <c r="J136" s="43"/>
      <c r="K136" s="43"/>
      <c r="L136" s="43"/>
      <c r="M136" s="100"/>
      <c r="N136" s="475" t="s">
        <v>592</v>
      </c>
      <c r="O136" s="343"/>
      <c r="P136" s="343"/>
      <c r="Q136" s="343"/>
      <c r="R136" s="343"/>
      <c r="S136" s="662">
        <v>12</v>
      </c>
      <c r="T136" s="663"/>
      <c r="U136" s="664"/>
      <c r="V136" s="253"/>
      <c r="W136" s="562"/>
      <c r="X136" s="562">
        <f t="shared" si="45"/>
        <v>0</v>
      </c>
      <c r="Y136" s="562">
        <f t="shared" si="36"/>
        <v>0</v>
      </c>
      <c r="Z136" s="563">
        <f t="shared" si="41"/>
        <v>0</v>
      </c>
      <c r="AA136" s="562">
        <f t="shared" si="42"/>
        <v>0</v>
      </c>
      <c r="AB136" s="562">
        <f t="shared" si="43"/>
        <v>0</v>
      </c>
      <c r="AC136" s="562">
        <f t="shared" si="44"/>
        <v>0</v>
      </c>
      <c r="AD136" s="161"/>
      <c r="AE136" s="358"/>
      <c r="AF136" s="642"/>
      <c r="AG136" s="642"/>
      <c r="AN136" s="503" t="str">
        <f>C136</f>
        <v>1000-000-000X-KDW360</v>
      </c>
    </row>
    <row r="137" spans="1:40" s="3" customFormat="1" ht="22.15" customHeight="1" thickBot="1">
      <c r="A137" s="262"/>
      <c r="B137" s="440" t="s">
        <v>253</v>
      </c>
      <c r="C137" s="437" t="s">
        <v>276</v>
      </c>
      <c r="D137" s="442" t="s">
        <v>35</v>
      </c>
      <c r="E137" s="374">
        <f>VLOOKUP(C137,Szacunek!$B$1:$H$192,7,0)*WYKON_KALK</f>
        <v>0</v>
      </c>
      <c r="F137" s="59"/>
      <c r="G137" s="58"/>
      <c r="H137" s="67"/>
      <c r="I137" s="67"/>
      <c r="J137" s="43"/>
      <c r="K137" s="43"/>
      <c r="L137" s="43"/>
      <c r="M137" s="100"/>
      <c r="N137" s="475" t="s">
        <v>592</v>
      </c>
      <c r="O137" s="343"/>
      <c r="P137" s="343"/>
      <c r="Q137" s="343"/>
      <c r="R137" s="343"/>
      <c r="S137" s="662">
        <v>15.6</v>
      </c>
      <c r="T137" s="663"/>
      <c r="U137" s="664"/>
      <c r="V137" s="253"/>
      <c r="W137" s="562"/>
      <c r="X137" s="562">
        <f t="shared" si="45"/>
        <v>0</v>
      </c>
      <c r="Y137" s="562">
        <f t="shared" si="36"/>
        <v>0</v>
      </c>
      <c r="Z137" s="563">
        <f t="shared" si="41"/>
        <v>0</v>
      </c>
      <c r="AA137" s="562">
        <f t="shared" si="42"/>
        <v>0</v>
      </c>
      <c r="AB137" s="562">
        <f t="shared" si="43"/>
        <v>0</v>
      </c>
      <c r="AC137" s="562">
        <f t="shared" si="44"/>
        <v>0</v>
      </c>
      <c r="AD137" s="161"/>
      <c r="AE137" s="358"/>
      <c r="AF137" s="642"/>
      <c r="AG137" s="642"/>
      <c r="AN137" s="503" t="str">
        <f t="shared" si="46"/>
        <v>1000-000-905S-OKO000</v>
      </c>
    </row>
    <row r="138" spans="1:40" s="3" customFormat="1" ht="22.15" customHeight="1" thickBot="1">
      <c r="A138" s="262"/>
      <c r="B138" s="440" t="s">
        <v>726</v>
      </c>
      <c r="C138" s="437" t="s">
        <v>727</v>
      </c>
      <c r="D138" s="442" t="s">
        <v>35</v>
      </c>
      <c r="E138" s="374">
        <f>VLOOKUP(C138,Szacunek!$B$1:$H$192,7,0)*WYKON_KALK</f>
        <v>0</v>
      </c>
      <c r="F138" s="59"/>
      <c r="G138" s="39"/>
      <c r="H138" s="39"/>
      <c r="I138" s="67"/>
      <c r="J138" s="43"/>
      <c r="K138" s="43"/>
      <c r="L138" s="43"/>
      <c r="M138" s="100"/>
      <c r="N138" s="475" t="s">
        <v>592</v>
      </c>
      <c r="O138" s="343"/>
      <c r="P138" s="343"/>
      <c r="Q138" s="343"/>
      <c r="R138" s="343"/>
      <c r="S138" s="662">
        <v>27.5</v>
      </c>
      <c r="T138" s="663"/>
      <c r="U138" s="664"/>
      <c r="V138" s="253"/>
      <c r="W138" s="562"/>
      <c r="X138" s="562">
        <f t="shared" si="45"/>
        <v>0</v>
      </c>
      <c r="Y138" s="562">
        <f t="shared" si="36"/>
        <v>0</v>
      </c>
      <c r="Z138" s="563">
        <f t="shared" si="41"/>
        <v>0</v>
      </c>
      <c r="AA138" s="562">
        <f t="shared" si="42"/>
        <v>0</v>
      </c>
      <c r="AB138" s="562">
        <f t="shared" si="43"/>
        <v>0</v>
      </c>
      <c r="AC138" s="562">
        <f t="shared" si="44"/>
        <v>0</v>
      </c>
      <c r="AD138" s="161"/>
      <c r="AE138" s="358"/>
      <c r="AF138" s="642"/>
      <c r="AG138" s="642"/>
      <c r="AN138" s="503" t="str">
        <f t="shared" si="46"/>
        <v>1000-000-000X-KJP125</v>
      </c>
    </row>
    <row r="139" spans="1:40" s="3" customFormat="1" ht="22.15" customHeight="1" thickBot="1">
      <c r="A139" s="262"/>
      <c r="B139" s="440" t="s">
        <v>254</v>
      </c>
      <c r="C139" s="437" t="s">
        <v>277</v>
      </c>
      <c r="D139" s="442" t="s">
        <v>35</v>
      </c>
      <c r="E139" s="374">
        <f>VLOOKUP(C139,Szacunek!$B$1:$H$192,7,0)*WYKON_KALK</f>
        <v>0</v>
      </c>
      <c r="F139" s="59"/>
      <c r="G139" s="39"/>
      <c r="H139" s="549" t="s">
        <v>259</v>
      </c>
      <c r="I139" s="549" t="s">
        <v>260</v>
      </c>
      <c r="J139" s="43"/>
      <c r="K139" s="43"/>
      <c r="L139" s="43"/>
      <c r="M139" s="100"/>
      <c r="N139" s="475" t="s">
        <v>592</v>
      </c>
      <c r="O139" s="343"/>
      <c r="P139" s="343"/>
      <c r="Q139" s="343"/>
      <c r="R139" s="343"/>
      <c r="S139" s="662">
        <v>38.799999999999997</v>
      </c>
      <c r="T139" s="663"/>
      <c r="U139" s="664"/>
      <c r="V139" s="253"/>
      <c r="W139" s="562"/>
      <c r="X139" s="562">
        <f t="shared" si="45"/>
        <v>0</v>
      </c>
      <c r="Y139" s="562">
        <f t="shared" si="36"/>
        <v>0</v>
      </c>
      <c r="Z139" s="563">
        <f t="shared" si="41"/>
        <v>0</v>
      </c>
      <c r="AA139" s="562">
        <f t="shared" si="42"/>
        <v>0</v>
      </c>
      <c r="AB139" s="562">
        <f t="shared" si="43"/>
        <v>0</v>
      </c>
      <c r="AC139" s="562">
        <f t="shared" si="44"/>
        <v>0</v>
      </c>
      <c r="AD139" s="161"/>
      <c r="AE139" s="358"/>
      <c r="AF139" s="642"/>
      <c r="AG139" s="642"/>
      <c r="AN139" s="503" t="str">
        <f t="shared" si="46"/>
        <v>1000-000-000X-SPS400</v>
      </c>
    </row>
    <row r="140" spans="1:40" s="3" customFormat="1" ht="22.15" customHeight="1" thickBot="1">
      <c r="A140" s="308" t="str">
        <f>MID(C140,6,4)&amp;RIGHT(C140,6)</f>
        <v>000-USC310</v>
      </c>
      <c r="B140" s="440" t="s">
        <v>765</v>
      </c>
      <c r="C140" s="437" t="s">
        <v>764</v>
      </c>
      <c r="D140" s="442" t="s">
        <v>282</v>
      </c>
      <c r="E140" s="374">
        <f>VLOOKUP(C140,Szacunek!$B$1:$H$192,7,0)*WYKON_KALK</f>
        <v>0</v>
      </c>
      <c r="F140" s="431"/>
      <c r="G140" s="39"/>
      <c r="H140" s="59"/>
      <c r="I140" s="59"/>
      <c r="J140" s="43"/>
      <c r="K140" s="43"/>
      <c r="L140" s="43"/>
      <c r="M140" s="100"/>
      <c r="N140" s="475" t="s">
        <v>592</v>
      </c>
      <c r="O140" s="343"/>
      <c r="P140" s="343"/>
      <c r="Q140" s="343"/>
      <c r="R140" s="343"/>
      <c r="S140" s="662">
        <v>96.3</v>
      </c>
      <c r="T140" s="663"/>
      <c r="U140" s="664"/>
      <c r="V140" s="253"/>
      <c r="W140" s="562"/>
      <c r="X140" s="562">
        <f>SUM(H140:I140)*S140</f>
        <v>0</v>
      </c>
      <c r="Y140" s="562">
        <f t="shared" si="36"/>
        <v>0</v>
      </c>
      <c r="Z140" s="563">
        <f t="shared" si="41"/>
        <v>0</v>
      </c>
      <c r="AA140" s="562">
        <f t="shared" si="42"/>
        <v>0</v>
      </c>
      <c r="AB140" s="562">
        <f t="shared" si="43"/>
        <v>0</v>
      </c>
      <c r="AC140" s="562">
        <f t="shared" si="44"/>
        <v>0</v>
      </c>
      <c r="AD140" s="161"/>
      <c r="AE140" s="358"/>
      <c r="AF140" s="642"/>
      <c r="AG140" s="642"/>
      <c r="AN140" s="503" t="str">
        <f>VLOOKUP(A140,mapa!B:I,MATCH('Dane podst. zamówienia'!$A$32,mapa!$B$1:$I$1,0),0)</f>
        <v>1000-000-738S-USC310</v>
      </c>
    </row>
    <row r="141" spans="1:40" s="3" customFormat="1" ht="21" customHeight="1">
      <c r="A141" s="262"/>
      <c r="B141" s="721" t="s">
        <v>728</v>
      </c>
      <c r="C141" s="721"/>
      <c r="D141" s="65"/>
      <c r="E141" s="430" t="s">
        <v>299</v>
      </c>
      <c r="F141" s="58"/>
      <c r="G141" s="39"/>
      <c r="H141" s="543" t="s">
        <v>766</v>
      </c>
      <c r="I141" s="46" t="s">
        <v>112</v>
      </c>
      <c r="J141" s="43"/>
      <c r="K141" s="43"/>
      <c r="L141" s="43"/>
      <c r="M141" s="100"/>
      <c r="N141" s="484"/>
      <c r="O141" s="343"/>
      <c r="P141" s="343"/>
      <c r="Q141" s="343"/>
      <c r="R141" s="343"/>
      <c r="S141" s="345"/>
      <c r="T141" s="345"/>
      <c r="U141" s="345"/>
      <c r="V141" s="253"/>
      <c r="W141" s="562"/>
      <c r="X141" s="562"/>
      <c r="Y141" s="562"/>
      <c r="Z141" s="562"/>
      <c r="AA141" s="562"/>
      <c r="AB141" s="562"/>
      <c r="AC141" s="562"/>
      <c r="AD141" s="162"/>
      <c r="AE141" s="358"/>
      <c r="AN141" s="386"/>
    </row>
    <row r="142" spans="1:40" s="3" customFormat="1">
      <c r="A142" s="262"/>
      <c r="B142" s="524"/>
      <c r="C142" s="524"/>
      <c r="D142" s="58"/>
      <c r="E142" s="58"/>
      <c r="F142" s="58"/>
      <c r="G142" s="58"/>
      <c r="H142" s="67"/>
      <c r="I142" s="67"/>
      <c r="J142" s="43"/>
      <c r="K142" s="43"/>
      <c r="L142" s="43"/>
      <c r="M142" s="43"/>
      <c r="N142" s="484"/>
      <c r="O142" s="343"/>
      <c r="P142" s="343"/>
      <c r="Q142" s="343"/>
      <c r="R142" s="343"/>
      <c r="S142" s="345"/>
      <c r="T142" s="345"/>
      <c r="U142" s="345"/>
      <c r="V142" s="253"/>
      <c r="W142" s="562"/>
      <c r="X142" s="562"/>
      <c r="Y142" s="562"/>
      <c r="Z142" s="562"/>
      <c r="AA142" s="562"/>
      <c r="AB142" s="562"/>
      <c r="AC142" s="562"/>
      <c r="AD142" s="162"/>
      <c r="AE142" s="358"/>
      <c r="AN142" s="386"/>
    </row>
    <row r="143" spans="1:40" s="3" customFormat="1" ht="22.15" customHeight="1">
      <c r="A143" s="262"/>
      <c r="B143" s="64"/>
      <c r="C143" s="65"/>
      <c r="D143" s="58"/>
      <c r="E143" s="58"/>
      <c r="F143" s="58"/>
      <c r="G143" s="58"/>
      <c r="H143" s="67"/>
      <c r="I143" s="67"/>
      <c r="J143" s="43"/>
      <c r="K143" s="43"/>
      <c r="L143" s="137" t="s">
        <v>746</v>
      </c>
      <c r="M143" s="43"/>
      <c r="N143" s="484"/>
      <c r="O143" s="343"/>
      <c r="P143" s="343"/>
      <c r="Q143" s="343"/>
      <c r="R143" s="343"/>
      <c r="S143" s="345"/>
      <c r="T143" s="345"/>
      <c r="U143" s="345"/>
      <c r="V143" s="253"/>
      <c r="W143" s="562"/>
      <c r="X143" s="562"/>
      <c r="Y143" s="562"/>
      <c r="Z143" s="562"/>
      <c r="AA143" s="562"/>
      <c r="AB143" s="562"/>
      <c r="AC143" s="562"/>
      <c r="AD143" s="162"/>
      <c r="AE143" s="358"/>
      <c r="AN143" s="386"/>
    </row>
    <row r="144" spans="1:40" s="3" customFormat="1" ht="22.15" customHeight="1">
      <c r="A144" s="262"/>
      <c r="B144" s="166" t="s">
        <v>305</v>
      </c>
      <c r="C144" s="167"/>
      <c r="D144" s="168"/>
      <c r="E144" s="169"/>
      <c r="F144" s="168"/>
      <c r="G144" s="168"/>
      <c r="H144" s="170"/>
      <c r="I144" s="168"/>
      <c r="J144" s="171"/>
      <c r="K144" s="171"/>
      <c r="L144" s="172"/>
      <c r="M144" s="109"/>
      <c r="N144" s="485"/>
      <c r="O144" s="343"/>
      <c r="P144" s="343"/>
      <c r="Q144" s="343"/>
      <c r="R144" s="343"/>
      <c r="S144" s="345"/>
      <c r="T144" s="345"/>
      <c r="U144" s="345"/>
      <c r="V144" s="253"/>
      <c r="W144" s="562"/>
      <c r="X144" s="562"/>
      <c r="Y144" s="562"/>
      <c r="Z144" s="562"/>
      <c r="AA144" s="562"/>
      <c r="AB144" s="562"/>
      <c r="AC144" s="562"/>
      <c r="AD144" s="162"/>
      <c r="AE144" s="358"/>
      <c r="AN144" s="386"/>
    </row>
    <row r="145" spans="1:41" s="3" customFormat="1" ht="7.15" customHeight="1">
      <c r="A145" s="262"/>
      <c r="B145" s="64"/>
      <c r="C145" s="65"/>
      <c r="D145" s="58"/>
      <c r="E145" s="58"/>
      <c r="F145" s="58"/>
      <c r="G145" s="58"/>
      <c r="H145" s="67"/>
      <c r="I145" s="67"/>
      <c r="J145" s="43"/>
      <c r="K145" s="43"/>
      <c r="L145" s="173"/>
      <c r="M145" s="43"/>
      <c r="N145" s="484"/>
      <c r="O145" s="343"/>
      <c r="P145" s="343"/>
      <c r="Q145" s="343"/>
      <c r="R145" s="343"/>
      <c r="S145" s="345"/>
      <c r="T145" s="345"/>
      <c r="U145" s="345"/>
      <c r="V145" s="253"/>
      <c r="W145" s="562"/>
      <c r="X145" s="562"/>
      <c r="Y145" s="562"/>
      <c r="Z145" s="562"/>
      <c r="AA145" s="562"/>
      <c r="AB145" s="562"/>
      <c r="AC145" s="562"/>
      <c r="AD145" s="162"/>
      <c r="AE145" s="358"/>
      <c r="AN145" s="386"/>
    </row>
    <row r="146" spans="1:41" s="3" customFormat="1" ht="52.9" customHeight="1">
      <c r="A146" s="262"/>
      <c r="B146" s="175"/>
      <c r="C146" s="39"/>
      <c r="D146" s="665" t="s">
        <v>184</v>
      </c>
      <c r="E146" s="130"/>
      <c r="F146" s="526" t="s">
        <v>753</v>
      </c>
      <c r="G146" s="39"/>
      <c r="H146" s="526" t="s">
        <v>754</v>
      </c>
      <c r="I146" s="39"/>
      <c r="J146" s="39"/>
      <c r="K146" s="39"/>
      <c r="L146" s="174"/>
      <c r="M146" s="39"/>
      <c r="N146" s="484"/>
      <c r="O146" s="343"/>
      <c r="P146" s="343"/>
      <c r="Q146" s="343"/>
      <c r="R146" s="343"/>
      <c r="S146" s="345"/>
      <c r="T146" s="345"/>
      <c r="U146" s="345"/>
      <c r="V146" s="253"/>
      <c r="W146" s="562"/>
      <c r="X146" s="562"/>
      <c r="Y146" s="562"/>
      <c r="Z146" s="562"/>
      <c r="AA146" s="562"/>
      <c r="AB146" s="562"/>
      <c r="AC146" s="562"/>
      <c r="AD146" s="162"/>
      <c r="AE146" s="358"/>
      <c r="AN146" s="386"/>
    </row>
    <row r="147" spans="1:41" s="3" customFormat="1" ht="22.15" customHeight="1" thickBot="1">
      <c r="A147" s="262"/>
      <c r="B147" s="450" t="s">
        <v>113</v>
      </c>
      <c r="C147" s="45" t="s">
        <v>0</v>
      </c>
      <c r="D147" s="666"/>
      <c r="E147" s="375" t="s">
        <v>185</v>
      </c>
      <c r="F147" s="543" t="s">
        <v>111</v>
      </c>
      <c r="G147" s="39"/>
      <c r="H147" s="46" t="s">
        <v>112</v>
      </c>
      <c r="I147" s="39"/>
      <c r="J147" s="39"/>
      <c r="K147" s="39"/>
      <c r="L147" s="174"/>
      <c r="M147" s="109"/>
      <c r="N147" s="484"/>
      <c r="O147" s="343"/>
      <c r="P147" s="343"/>
      <c r="Q147" s="343"/>
      <c r="R147" s="343"/>
      <c r="S147" s="345"/>
      <c r="T147" s="345"/>
      <c r="U147" s="345"/>
      <c r="V147" s="253"/>
      <c r="W147" s="562"/>
      <c r="X147" s="562"/>
      <c r="Y147" s="562"/>
      <c r="Z147" s="562"/>
      <c r="AA147" s="562"/>
      <c r="AB147" s="562"/>
      <c r="AC147" s="562"/>
      <c r="AD147" s="162"/>
      <c r="AE147" s="358"/>
      <c r="AN147" s="386"/>
    </row>
    <row r="148" spans="1:41" s="3" customFormat="1" ht="40.15" customHeight="1" thickBot="1">
      <c r="A148" s="308" t="str">
        <f>MID(C148,6,4)&amp;RIGHT(C148,6)</f>
        <v>000-ZZR240</v>
      </c>
      <c r="B148" s="440" t="s">
        <v>303</v>
      </c>
      <c r="C148" s="437" t="s">
        <v>144</v>
      </c>
      <c r="D148" s="442" t="s">
        <v>35</v>
      </c>
      <c r="E148" s="374">
        <f>VLOOKUP(C148,Szacunek!$B$1:$H$192,7,0)*WYKON_KALK</f>
        <v>0</v>
      </c>
      <c r="F148" s="59"/>
      <c r="G148" s="39"/>
      <c r="H148" s="59"/>
      <c r="I148" s="39"/>
      <c r="J148" s="39"/>
      <c r="K148" s="39"/>
      <c r="L148" s="174"/>
      <c r="M148" s="109"/>
      <c r="N148" s="475" t="s">
        <v>732</v>
      </c>
      <c r="O148" s="343"/>
      <c r="P148" s="343"/>
      <c r="Q148" s="343"/>
      <c r="R148" s="343"/>
      <c r="S148" s="662">
        <v>663.2</v>
      </c>
      <c r="T148" s="663"/>
      <c r="U148" s="664"/>
      <c r="V148" s="253"/>
      <c r="W148" s="562"/>
      <c r="X148" s="562">
        <f>SUM(F148:H148)*S148</f>
        <v>0</v>
      </c>
      <c r="Y148" s="562">
        <f t="shared" si="36"/>
        <v>0</v>
      </c>
      <c r="Z148" s="563">
        <f>VLOOKUP(N148,$A$190:$C$195,3,0)</f>
        <v>0</v>
      </c>
      <c r="AA148" s="562">
        <f>Y148-(Y148*Z148)</f>
        <v>0</v>
      </c>
      <c r="AB148" s="562">
        <f>S148*E148</f>
        <v>0</v>
      </c>
      <c r="AC148" s="562">
        <f>AB148-(Z148*AB148)</f>
        <v>0</v>
      </c>
      <c r="AD148" s="162"/>
      <c r="AE148" s="643"/>
      <c r="AF148" s="643"/>
      <c r="AG148" s="642"/>
      <c r="AN148" s="503" t="str">
        <f>C148</f>
        <v>3000-000-_-ZZR240</v>
      </c>
    </row>
    <row r="149" spans="1:41" s="3" customFormat="1" ht="40.15" customHeight="1" thickBot="1">
      <c r="A149" s="308" t="str">
        <f>MID(C149,6,4)&amp;RIGHT(C149,6)</f>
        <v>000-ZZR360</v>
      </c>
      <c r="B149" s="440" t="s">
        <v>145</v>
      </c>
      <c r="C149" s="437" t="s">
        <v>146</v>
      </c>
      <c r="D149" s="442" t="s">
        <v>35</v>
      </c>
      <c r="E149" s="374">
        <f>VLOOKUP(C149,Szacunek!$B$1:$H$192,7,0)*WYKON_KALK</f>
        <v>0</v>
      </c>
      <c r="F149" s="59"/>
      <c r="G149" s="39"/>
      <c r="H149" s="59"/>
      <c r="I149" s="39"/>
      <c r="J149" s="39"/>
      <c r="K149" s="39"/>
      <c r="L149" s="174"/>
      <c r="M149" s="109"/>
      <c r="N149" s="475" t="s">
        <v>732</v>
      </c>
      <c r="O149" s="343"/>
      <c r="P149" s="343"/>
      <c r="Q149" s="343"/>
      <c r="R149" s="343"/>
      <c r="S149" s="662">
        <v>918.8</v>
      </c>
      <c r="T149" s="663"/>
      <c r="U149" s="664"/>
      <c r="V149" s="253"/>
      <c r="W149" s="562"/>
      <c r="X149" s="562">
        <f>SUM(F149:H149)*S149</f>
        <v>0</v>
      </c>
      <c r="Y149" s="562">
        <f t="shared" si="36"/>
        <v>0</v>
      </c>
      <c r="Z149" s="563">
        <f>VLOOKUP(N149,$A$190:$C$195,3,0)</f>
        <v>0</v>
      </c>
      <c r="AA149" s="562">
        <f>Y149-(Y149*Z149)</f>
        <v>0</v>
      </c>
      <c r="AB149" s="562">
        <f>S149*E149</f>
        <v>0</v>
      </c>
      <c r="AC149" s="562">
        <f>AB149-(Z149*AB149)</f>
        <v>0</v>
      </c>
      <c r="AD149" s="162"/>
      <c r="AE149" s="643"/>
      <c r="AF149" s="643"/>
      <c r="AG149" s="642"/>
      <c r="AN149" s="503" t="str">
        <f>C149</f>
        <v>3000-000-_-ZZR360</v>
      </c>
    </row>
    <row r="150" spans="1:41" customFormat="1" ht="22.15" customHeight="1" thickBot="1">
      <c r="A150" s="310"/>
      <c r="B150" s="450" t="s">
        <v>114</v>
      </c>
      <c r="E150" s="430" t="s">
        <v>299</v>
      </c>
      <c r="F150" s="35"/>
      <c r="G150" s="40"/>
      <c r="H150" s="35"/>
      <c r="I150" s="35"/>
      <c r="J150" s="35"/>
      <c r="K150" s="35"/>
      <c r="L150" s="550"/>
      <c r="N150" s="486"/>
      <c r="O150" s="349"/>
      <c r="P150" s="349"/>
      <c r="Q150" s="349"/>
      <c r="R150" s="349"/>
      <c r="S150" s="345"/>
      <c r="T150" s="345"/>
      <c r="U150" s="345"/>
      <c r="V150" s="258"/>
      <c r="W150" s="567"/>
      <c r="X150" s="567"/>
      <c r="Y150" s="562"/>
      <c r="Z150" s="562"/>
      <c r="AA150" s="562"/>
      <c r="AB150" s="562"/>
      <c r="AC150" s="562"/>
      <c r="AE150" s="643"/>
      <c r="AF150" s="643"/>
      <c r="AG150" s="642"/>
      <c r="AN150" s="387"/>
      <c r="AO150" s="3"/>
    </row>
    <row r="151" spans="1:41" s="3" customFormat="1" ht="25.9" customHeight="1" thickBot="1">
      <c r="A151" s="308" t="str">
        <f t="shared" ref="A151:A156" si="47">MID(C151,6,4)&amp;RIGHT(C151,6)</f>
        <v>000-ZWR000</v>
      </c>
      <c r="B151" s="440" t="s">
        <v>115</v>
      </c>
      <c r="C151" s="437" t="s">
        <v>116</v>
      </c>
      <c r="D151" s="442" t="s">
        <v>117</v>
      </c>
      <c r="E151" s="374">
        <v>0</v>
      </c>
      <c r="F151" s="59"/>
      <c r="G151" s="39"/>
      <c r="H151" s="59"/>
      <c r="I151" s="39"/>
      <c r="J151" s="39"/>
      <c r="K151" s="39"/>
      <c r="L151" s="174"/>
      <c r="M151" s="109"/>
      <c r="N151" s="475" t="s">
        <v>732</v>
      </c>
      <c r="O151" s="343"/>
      <c r="P151" s="343"/>
      <c r="Q151" s="343"/>
      <c r="R151" s="343"/>
      <c r="S151" s="662">
        <v>68.8</v>
      </c>
      <c r="T151" s="663"/>
      <c r="U151" s="664"/>
      <c r="V151" s="253"/>
      <c r="W151" s="562"/>
      <c r="X151" s="562">
        <f t="shared" ref="X151:X156" si="48">SUM(F151:H151)*S151</f>
        <v>0</v>
      </c>
      <c r="Y151" s="562">
        <f t="shared" si="36"/>
        <v>0</v>
      </c>
      <c r="Z151" s="563">
        <f t="shared" ref="Z151:Z156" si="49">VLOOKUP(N151,$A$190:$C$195,3,0)</f>
        <v>0</v>
      </c>
      <c r="AA151" s="562">
        <f t="shared" ref="AA151:AA156" si="50">Y151-(Y151*Z151)</f>
        <v>0</v>
      </c>
      <c r="AB151" s="562">
        <f t="shared" ref="AB151:AB156" si="51">S151*E151</f>
        <v>0</v>
      </c>
      <c r="AC151" s="562">
        <f t="shared" ref="AC151:AC156" si="52">AB151-(Z151*AB151)</f>
        <v>0</v>
      </c>
      <c r="AD151" s="162"/>
      <c r="AE151" s="643"/>
      <c r="AF151" s="643"/>
      <c r="AG151" s="642"/>
      <c r="AN151" s="503" t="str">
        <f>VLOOKUP(A151,mapa!B:I,MATCH('Dane podst. zamówienia'!$A$32,mapa!$B$1:$I$1,0),0)</f>
        <v>3000-000-716S-ZWR000</v>
      </c>
    </row>
    <row r="152" spans="1:41" s="3" customFormat="1" ht="22.15" customHeight="1" thickBot="1">
      <c r="A152" s="308" t="str">
        <f t="shared" si="47"/>
        <v>000-ZRU120</v>
      </c>
      <c r="B152" s="440" t="s">
        <v>118</v>
      </c>
      <c r="C152" s="437" t="s">
        <v>119</v>
      </c>
      <c r="D152" s="442" t="s">
        <v>117</v>
      </c>
      <c r="E152" s="374">
        <v>0</v>
      </c>
      <c r="F152" s="59"/>
      <c r="G152" s="39"/>
      <c r="H152" s="59"/>
      <c r="I152" s="39"/>
      <c r="J152" s="39"/>
      <c r="K152" s="39"/>
      <c r="L152" s="174"/>
      <c r="M152" s="109"/>
      <c r="N152" s="475" t="s">
        <v>732</v>
      </c>
      <c r="O152" s="343"/>
      <c r="P152" s="343"/>
      <c r="Q152" s="343"/>
      <c r="R152" s="343"/>
      <c r="S152" s="662">
        <v>52.2</v>
      </c>
      <c r="T152" s="663"/>
      <c r="U152" s="664"/>
      <c r="V152" s="253"/>
      <c r="W152" s="562"/>
      <c r="X152" s="562">
        <f t="shared" si="48"/>
        <v>0</v>
      </c>
      <c r="Y152" s="562">
        <f t="shared" si="36"/>
        <v>0</v>
      </c>
      <c r="Z152" s="563">
        <f t="shared" si="49"/>
        <v>0</v>
      </c>
      <c r="AA152" s="562">
        <f t="shared" si="50"/>
        <v>0</v>
      </c>
      <c r="AB152" s="562">
        <f t="shared" si="51"/>
        <v>0</v>
      </c>
      <c r="AC152" s="562">
        <f t="shared" si="52"/>
        <v>0</v>
      </c>
      <c r="AD152" s="162"/>
      <c r="AE152" s="643"/>
      <c r="AF152" s="643"/>
      <c r="AG152" s="642"/>
      <c r="AN152" s="503" t="str">
        <f>VLOOKUP(A152,mapa!B:I,MATCH('Dane podst. zamówienia'!$A$32,mapa!$B$1:$I$1,0),0)</f>
        <v>3000-000-716S-ZRU120</v>
      </c>
    </row>
    <row r="153" spans="1:41" s="3" customFormat="1" ht="22.15" customHeight="1" thickBot="1">
      <c r="A153" s="308" t="str">
        <f t="shared" si="47"/>
        <v>000-ZRU200</v>
      </c>
      <c r="B153" s="440" t="s">
        <v>120</v>
      </c>
      <c r="C153" s="437" t="s">
        <v>121</v>
      </c>
      <c r="D153" s="442" t="s">
        <v>117</v>
      </c>
      <c r="E153" s="374">
        <v>0</v>
      </c>
      <c r="F153" s="59"/>
      <c r="G153" s="39"/>
      <c r="H153" s="59"/>
      <c r="I153" s="39"/>
      <c r="J153" s="39"/>
      <c r="K153" s="39"/>
      <c r="L153" s="174"/>
      <c r="M153" s="109"/>
      <c r="N153" s="475" t="s">
        <v>732</v>
      </c>
      <c r="O153" s="343"/>
      <c r="P153" s="343"/>
      <c r="Q153" s="343"/>
      <c r="R153" s="343"/>
      <c r="S153" s="662">
        <v>78.7</v>
      </c>
      <c r="T153" s="663"/>
      <c r="U153" s="664"/>
      <c r="V153" s="253"/>
      <c r="W153" s="562"/>
      <c r="X153" s="562">
        <f t="shared" si="48"/>
        <v>0</v>
      </c>
      <c r="Y153" s="562">
        <f t="shared" si="36"/>
        <v>0</v>
      </c>
      <c r="Z153" s="563">
        <f t="shared" si="49"/>
        <v>0</v>
      </c>
      <c r="AA153" s="562">
        <f t="shared" si="50"/>
        <v>0</v>
      </c>
      <c r="AB153" s="562">
        <f t="shared" si="51"/>
        <v>0</v>
      </c>
      <c r="AC153" s="562">
        <f t="shared" si="52"/>
        <v>0</v>
      </c>
      <c r="AD153" s="162"/>
      <c r="AE153" s="643"/>
      <c r="AF153" s="643"/>
      <c r="AG153" s="642"/>
      <c r="AN153" s="503" t="str">
        <f>VLOOKUP(A153,mapa!B:I,MATCH('Dane podst. zamówienia'!$A$32,mapa!$B$1:$I$1,0),0)</f>
        <v>3000-000-716S-ZRU200</v>
      </c>
    </row>
    <row r="154" spans="1:41" s="3" customFormat="1" ht="22.15" customHeight="1" thickBot="1">
      <c r="A154" s="308" t="str">
        <f t="shared" si="47"/>
        <v>000-ZBU000</v>
      </c>
      <c r="B154" s="440" t="s">
        <v>122</v>
      </c>
      <c r="C154" s="437" t="s">
        <v>123</v>
      </c>
      <c r="D154" s="442" t="s">
        <v>34</v>
      </c>
      <c r="E154" s="374">
        <v>0</v>
      </c>
      <c r="F154" s="59"/>
      <c r="G154" s="39"/>
      <c r="H154" s="59"/>
      <c r="I154" s="39"/>
      <c r="J154" s="39"/>
      <c r="K154" s="39"/>
      <c r="L154" s="174"/>
      <c r="M154" s="109"/>
      <c r="N154" s="475" t="s">
        <v>732</v>
      </c>
      <c r="O154" s="343"/>
      <c r="P154" s="343"/>
      <c r="Q154" s="343"/>
      <c r="R154" s="343"/>
      <c r="S154" s="662">
        <v>18.7</v>
      </c>
      <c r="T154" s="663"/>
      <c r="U154" s="664"/>
      <c r="V154" s="253"/>
      <c r="W154" s="562"/>
      <c r="X154" s="562">
        <f t="shared" si="48"/>
        <v>0</v>
      </c>
      <c r="Y154" s="562">
        <f t="shared" si="36"/>
        <v>0</v>
      </c>
      <c r="Z154" s="563">
        <f t="shared" si="49"/>
        <v>0</v>
      </c>
      <c r="AA154" s="562">
        <f t="shared" si="50"/>
        <v>0</v>
      </c>
      <c r="AB154" s="562">
        <f t="shared" si="51"/>
        <v>0</v>
      </c>
      <c r="AC154" s="562">
        <f t="shared" si="52"/>
        <v>0</v>
      </c>
      <c r="AD154" s="162"/>
      <c r="AE154" s="643"/>
      <c r="AF154" s="643"/>
      <c r="AG154" s="642"/>
      <c r="AN154" s="503" t="str">
        <f>VLOOKUP(A154,mapa!B:I,MATCH('Dane podst. zamówienia'!$A$32,mapa!$B$1:$I$1,0),0)</f>
        <v>3000-000-716S-ZBU000</v>
      </c>
    </row>
    <row r="155" spans="1:41" s="3" customFormat="1" ht="22.15" customHeight="1" thickBot="1">
      <c r="A155" s="308" t="str">
        <f t="shared" si="47"/>
        <v>000-ZLU000</v>
      </c>
      <c r="B155" s="440" t="s">
        <v>124</v>
      </c>
      <c r="C155" s="437" t="s">
        <v>125</v>
      </c>
      <c r="D155" s="442" t="s">
        <v>36</v>
      </c>
      <c r="E155" s="374">
        <v>0</v>
      </c>
      <c r="F155" s="431"/>
      <c r="G155" s="39"/>
      <c r="H155" s="59"/>
      <c r="I155" s="39"/>
      <c r="J155" s="39"/>
      <c r="K155" s="39"/>
      <c r="L155" s="174"/>
      <c r="M155" s="109"/>
      <c r="N155" s="475" t="s">
        <v>732</v>
      </c>
      <c r="O155" s="343"/>
      <c r="P155" s="343"/>
      <c r="Q155" s="343"/>
      <c r="R155" s="343"/>
      <c r="S155" s="662">
        <v>8.8000000000000007</v>
      </c>
      <c r="T155" s="663"/>
      <c r="U155" s="664"/>
      <c r="V155" s="253"/>
      <c r="W155" s="562"/>
      <c r="X155" s="562">
        <f t="shared" si="48"/>
        <v>0</v>
      </c>
      <c r="Y155" s="562">
        <f t="shared" si="36"/>
        <v>0</v>
      </c>
      <c r="Z155" s="563">
        <f t="shared" si="49"/>
        <v>0</v>
      </c>
      <c r="AA155" s="562">
        <f t="shared" si="50"/>
        <v>0</v>
      </c>
      <c r="AB155" s="562">
        <f t="shared" si="51"/>
        <v>0</v>
      </c>
      <c r="AC155" s="562">
        <f t="shared" si="52"/>
        <v>0</v>
      </c>
      <c r="AD155" s="162"/>
      <c r="AE155" s="643"/>
      <c r="AF155" s="643"/>
      <c r="AG155" s="642"/>
      <c r="AN155" s="503" t="str">
        <f>VLOOKUP(A155,mapa!B:I,MATCH('Dane podst. zamówienia'!$A$32,mapa!$B$1:$I$1,0),0)</f>
        <v>3000-000-905S-ZLU000</v>
      </c>
    </row>
    <row r="156" spans="1:41" s="3" customFormat="1" ht="22.15" customHeight="1" thickBot="1">
      <c r="A156" s="308" t="str">
        <f t="shared" si="47"/>
        <v>000-ZZU000</v>
      </c>
      <c r="B156" s="440" t="s">
        <v>126</v>
      </c>
      <c r="C156" s="437" t="s">
        <v>127</v>
      </c>
      <c r="D156" s="442" t="s">
        <v>128</v>
      </c>
      <c r="E156" s="374">
        <v>0</v>
      </c>
      <c r="F156" s="431"/>
      <c r="G156" s="39"/>
      <c r="H156" s="59"/>
      <c r="I156" s="39"/>
      <c r="J156" s="39"/>
      <c r="K156" s="39"/>
      <c r="L156" s="174"/>
      <c r="M156" s="109"/>
      <c r="N156" s="475" t="s">
        <v>732</v>
      </c>
      <c r="O156" s="343"/>
      <c r="P156" s="343"/>
      <c r="Q156" s="343"/>
      <c r="R156" s="343"/>
      <c r="S156" s="662">
        <v>4.5</v>
      </c>
      <c r="T156" s="663"/>
      <c r="U156" s="664"/>
      <c r="V156" s="253"/>
      <c r="W156" s="562"/>
      <c r="X156" s="562">
        <f t="shared" si="48"/>
        <v>0</v>
      </c>
      <c r="Y156" s="562">
        <f t="shared" si="36"/>
        <v>0</v>
      </c>
      <c r="Z156" s="563">
        <f t="shared" si="49"/>
        <v>0</v>
      </c>
      <c r="AA156" s="562">
        <f t="shared" si="50"/>
        <v>0</v>
      </c>
      <c r="AB156" s="562">
        <f t="shared" si="51"/>
        <v>0</v>
      </c>
      <c r="AC156" s="562">
        <f t="shared" si="52"/>
        <v>0</v>
      </c>
      <c r="AD156" s="162"/>
      <c r="AE156" s="643"/>
      <c r="AF156" s="643"/>
      <c r="AG156" s="642"/>
      <c r="AN156" s="503" t="str">
        <f>VLOOKUP(A156,mapa!B:I,MATCH('Dane podst. zamówienia'!$A$32,mapa!$B$1:$I$1,0),0)</f>
        <v>3000-000-905S-ZZU000</v>
      </c>
    </row>
    <row r="157" spans="1:41" s="3" customFormat="1" ht="25.9" customHeight="1">
      <c r="A157" s="262"/>
      <c r="B157" s="176"/>
      <c r="C157" s="177"/>
      <c r="D157" s="178"/>
      <c r="E157" s="430" t="s">
        <v>299</v>
      </c>
      <c r="F157" s="178"/>
      <c r="G157" s="178"/>
      <c r="H157" s="178"/>
      <c r="I157" s="39"/>
      <c r="J157" s="39"/>
      <c r="K157" s="39"/>
      <c r="L157" s="174"/>
      <c r="M157" s="109"/>
      <c r="N157" s="485"/>
      <c r="O157" s="343"/>
      <c r="P157" s="343"/>
      <c r="Q157" s="343"/>
      <c r="R157" s="343"/>
      <c r="S157" s="345"/>
      <c r="T157" s="345"/>
      <c r="U157" s="345"/>
      <c r="V157" s="253"/>
      <c r="W157" s="562"/>
      <c r="X157" s="562"/>
      <c r="Y157" s="562"/>
      <c r="Z157" s="562"/>
      <c r="AA157" s="562"/>
      <c r="AB157" s="562"/>
      <c r="AC157" s="562"/>
      <c r="AD157" s="162"/>
      <c r="AE157" s="643"/>
      <c r="AF157" s="643"/>
      <c r="AG157" s="642"/>
      <c r="AN157" s="386"/>
    </row>
    <row r="158" spans="1:41" s="3" customFormat="1" ht="22.15" customHeight="1">
      <c r="A158" s="262"/>
      <c r="B158" s="166" t="s">
        <v>304</v>
      </c>
      <c r="C158" s="167"/>
      <c r="D158" s="168"/>
      <c r="E158" s="169"/>
      <c r="F158" s="168"/>
      <c r="G158" s="168"/>
      <c r="H158" s="170"/>
      <c r="I158" s="168"/>
      <c r="J158" s="171"/>
      <c r="K158" s="171"/>
      <c r="L158" s="172"/>
      <c r="M158" s="109"/>
      <c r="N158" s="485"/>
      <c r="O158" s="343"/>
      <c r="P158" s="343"/>
      <c r="Q158" s="343"/>
      <c r="R158" s="343"/>
      <c r="S158" s="345"/>
      <c r="T158" s="345"/>
      <c r="U158" s="345"/>
      <c r="V158" s="253"/>
      <c r="W158" s="562"/>
      <c r="X158" s="562"/>
      <c r="Y158" s="562"/>
      <c r="Z158" s="562"/>
      <c r="AA158" s="562"/>
      <c r="AB158" s="562"/>
      <c r="AC158" s="562"/>
      <c r="AD158" s="162"/>
      <c r="AE158" s="643"/>
      <c r="AF158" s="643"/>
      <c r="AG158" s="642"/>
      <c r="AN158" s="386"/>
    </row>
    <row r="159" spans="1:41" s="3" customFormat="1" ht="7.15" customHeight="1">
      <c r="A159" s="262"/>
      <c r="B159" s="64"/>
      <c r="C159" s="65"/>
      <c r="D159" s="58"/>
      <c r="E159" s="58"/>
      <c r="F159" s="58"/>
      <c r="G159" s="58"/>
      <c r="H159" s="67"/>
      <c r="I159" s="67"/>
      <c r="J159" s="43"/>
      <c r="K159" s="43"/>
      <c r="L159" s="173"/>
      <c r="M159" s="109"/>
      <c r="N159" s="485"/>
      <c r="O159" s="343"/>
      <c r="P159" s="343"/>
      <c r="Q159" s="343"/>
      <c r="R159" s="343"/>
      <c r="S159" s="345"/>
      <c r="T159" s="345"/>
      <c r="U159" s="345"/>
      <c r="V159" s="253"/>
      <c r="W159" s="562"/>
      <c r="X159" s="562"/>
      <c r="Y159" s="562"/>
      <c r="Z159" s="562"/>
      <c r="AA159" s="562"/>
      <c r="AB159" s="562"/>
      <c r="AC159" s="562"/>
      <c r="AD159" s="162"/>
      <c r="AE159" s="643"/>
      <c r="AF159" s="643"/>
      <c r="AG159" s="642"/>
      <c r="AN159" s="386"/>
    </row>
    <row r="160" spans="1:41" s="3" customFormat="1" ht="62.45" customHeight="1">
      <c r="A160" s="262"/>
      <c r="B160" s="175"/>
      <c r="C160" s="39"/>
      <c r="D160" s="665" t="s">
        <v>184</v>
      </c>
      <c r="E160" s="130"/>
      <c r="F160" s="558" t="s">
        <v>756</v>
      </c>
      <c r="G160" s="560"/>
      <c r="H160" s="558" t="s">
        <v>755</v>
      </c>
      <c r="I160" s="39"/>
      <c r="J160" s="39"/>
      <c r="K160" s="39"/>
      <c r="L160" s="174"/>
      <c r="M160" s="39"/>
      <c r="N160" s="484"/>
      <c r="O160" s="343"/>
      <c r="P160" s="343"/>
      <c r="Q160" s="343"/>
      <c r="R160" s="343"/>
      <c r="S160" s="345"/>
      <c r="T160" s="345"/>
      <c r="U160" s="345"/>
      <c r="V160" s="253"/>
      <c r="W160" s="562"/>
      <c r="X160" s="562"/>
      <c r="Y160" s="562"/>
      <c r="Z160" s="562"/>
      <c r="AA160" s="562"/>
      <c r="AB160" s="562"/>
      <c r="AC160" s="562"/>
      <c r="AD160" s="162"/>
      <c r="AE160" s="643"/>
      <c r="AF160" s="643"/>
      <c r="AG160" s="642"/>
      <c r="AN160" s="386"/>
    </row>
    <row r="161" spans="1:40" s="3" customFormat="1" ht="22.15" customHeight="1" thickBot="1">
      <c r="A161" s="262"/>
      <c r="B161" s="450" t="s">
        <v>152</v>
      </c>
      <c r="C161" s="45" t="s">
        <v>0</v>
      </c>
      <c r="D161" s="666"/>
      <c r="E161" s="375" t="s">
        <v>185</v>
      </c>
      <c r="F161" s="543" t="s">
        <v>111</v>
      </c>
      <c r="G161" s="39"/>
      <c r="H161" s="46" t="s">
        <v>112</v>
      </c>
      <c r="I161" s="39"/>
      <c r="J161" s="39"/>
      <c r="K161" s="39"/>
      <c r="L161" s="174"/>
      <c r="M161" s="109"/>
      <c r="N161" s="484"/>
      <c r="O161" s="343"/>
      <c r="P161" s="343"/>
      <c r="Q161" s="343"/>
      <c r="R161" s="343"/>
      <c r="S161" s="345"/>
      <c r="T161" s="345"/>
      <c r="U161" s="345"/>
      <c r="V161" s="253"/>
      <c r="W161" s="562"/>
      <c r="X161" s="562"/>
      <c r="Y161" s="562"/>
      <c r="Z161" s="562"/>
      <c r="AA161" s="562"/>
      <c r="AB161" s="562"/>
      <c r="AC161" s="562"/>
      <c r="AD161" s="162"/>
      <c r="AE161" s="643"/>
      <c r="AF161" s="643"/>
      <c r="AG161" s="642"/>
      <c r="AN161" s="386"/>
    </row>
    <row r="162" spans="1:40" s="3" customFormat="1" ht="27.6" customHeight="1" thickBot="1">
      <c r="A162" s="308" t="str">
        <f>MID(C162,6,4)&amp;RIGHT(C162,6)</f>
        <v>000-KZR060</v>
      </c>
      <c r="B162" s="34" t="s">
        <v>147</v>
      </c>
      <c r="C162" s="437" t="s">
        <v>148</v>
      </c>
      <c r="D162" s="442" t="s">
        <v>35</v>
      </c>
      <c r="E162" s="374">
        <f>VLOOKUP(C162,Szacunek!$B$1:$H$192,7,0)*WYKON_KALK</f>
        <v>0</v>
      </c>
      <c r="F162" s="59"/>
      <c r="G162" s="39"/>
      <c r="H162" s="59"/>
      <c r="I162" s="39"/>
      <c r="J162" s="39"/>
      <c r="K162" s="39"/>
      <c r="L162" s="174"/>
      <c r="M162" s="109"/>
      <c r="N162" s="475" t="s">
        <v>732</v>
      </c>
      <c r="O162" s="343"/>
      <c r="P162" s="343"/>
      <c r="Q162" s="343"/>
      <c r="R162" s="343"/>
      <c r="S162" s="662">
        <v>332.5</v>
      </c>
      <c r="T162" s="663"/>
      <c r="U162" s="664"/>
      <c r="V162" s="253"/>
      <c r="W162" s="562"/>
      <c r="X162" s="562">
        <f>SUM(F162:H162)*S162</f>
        <v>0</v>
      </c>
      <c r="Y162" s="562">
        <f t="shared" si="36"/>
        <v>0</v>
      </c>
      <c r="Z162" s="563">
        <f>VLOOKUP(N162,$A$190:$C$195,3,0)</f>
        <v>0</v>
      </c>
      <c r="AA162" s="562">
        <f>Y162-(Y162*Z162)</f>
        <v>0</v>
      </c>
      <c r="AB162" s="562">
        <f>S162*E162</f>
        <v>0</v>
      </c>
      <c r="AC162" s="562">
        <f>AB162-(Z162*AB162)</f>
        <v>0</v>
      </c>
      <c r="AD162" s="162"/>
      <c r="AE162" s="643"/>
      <c r="AF162" s="643"/>
      <c r="AG162" s="642"/>
      <c r="AN162" s="503" t="str">
        <f>VLOOKUP(A162,mapa!B:I,MATCH('Dane podst. zamówienia'!$A$32,mapa!$B$1:$I$1,0),0)</f>
        <v>3000-000-716S-KZR060</v>
      </c>
    </row>
    <row r="163" spans="1:40" s="3" customFormat="1" ht="27.6" customHeight="1" thickBot="1">
      <c r="A163" s="308" t="str">
        <f>MID(C163,6,4)&amp;RIGHT(C163,6)</f>
        <v>000-KZR120</v>
      </c>
      <c r="B163" s="34" t="s">
        <v>149</v>
      </c>
      <c r="C163" s="437" t="s">
        <v>153</v>
      </c>
      <c r="D163" s="442" t="s">
        <v>35</v>
      </c>
      <c r="E163" s="374">
        <f>VLOOKUP(C163,Szacunek!$B$1:$H$192,7,0)*WYKON_KALK</f>
        <v>0</v>
      </c>
      <c r="F163" s="59"/>
      <c r="G163" s="39"/>
      <c r="H163" s="59"/>
      <c r="I163" s="39"/>
      <c r="J163" s="39"/>
      <c r="K163" s="39"/>
      <c r="L163" s="174"/>
      <c r="M163" s="109"/>
      <c r="N163" s="475" t="s">
        <v>732</v>
      </c>
      <c r="O163" s="343"/>
      <c r="P163" s="343"/>
      <c r="Q163" s="343"/>
      <c r="R163" s="343"/>
      <c r="S163" s="662">
        <v>535.6</v>
      </c>
      <c r="T163" s="663"/>
      <c r="U163" s="664"/>
      <c r="V163" s="253"/>
      <c r="W163" s="562"/>
      <c r="X163" s="562">
        <f>SUM(F163:H163)*S163</f>
        <v>0</v>
      </c>
      <c r="Y163" s="562">
        <f t="shared" si="36"/>
        <v>0</v>
      </c>
      <c r="Z163" s="563">
        <f>VLOOKUP(N163,$A$190:$C$195,3,0)</f>
        <v>0</v>
      </c>
      <c r="AA163" s="562">
        <f>Y163-(Y163*Z163)</f>
        <v>0</v>
      </c>
      <c r="AB163" s="562">
        <f>S163*E163</f>
        <v>0</v>
      </c>
      <c r="AC163" s="562">
        <f>AB163-(Z163*AB163)</f>
        <v>0</v>
      </c>
      <c r="AD163" s="162"/>
      <c r="AE163" s="643"/>
      <c r="AF163" s="643"/>
      <c r="AG163" s="642"/>
      <c r="AN163" s="503" t="str">
        <f>VLOOKUP(A163,mapa!B:I,MATCH('Dane podst. zamówienia'!$A$32,mapa!$B$1:$I$1,0),0)</f>
        <v>3000-000-716S-KZR120</v>
      </c>
    </row>
    <row r="164" spans="1:40" s="3" customFormat="1" ht="22.15" customHeight="1" thickBot="1">
      <c r="A164" s="262"/>
      <c r="B164" s="450" t="s">
        <v>129</v>
      </c>
      <c r="C164"/>
      <c r="D164"/>
      <c r="E164" s="430" t="s">
        <v>299</v>
      </c>
      <c r="F164" s="35"/>
      <c r="G164" s="39"/>
      <c r="H164" s="35"/>
      <c r="I164" s="35"/>
      <c r="J164" s="35"/>
      <c r="K164" s="35"/>
      <c r="L164" s="550"/>
      <c r="M164"/>
      <c r="N164" s="486"/>
      <c r="O164" s="349"/>
      <c r="P164" s="349"/>
      <c r="Q164" s="349"/>
      <c r="R164" s="349"/>
      <c r="S164" s="345"/>
      <c r="T164" s="345"/>
      <c r="U164" s="345"/>
      <c r="V164" s="258"/>
      <c r="W164" s="567"/>
      <c r="X164" s="567"/>
      <c r="Y164" s="562"/>
      <c r="Z164" s="562"/>
      <c r="AA164" s="562"/>
      <c r="AB164" s="562"/>
      <c r="AC164" s="562"/>
      <c r="AD164" s="162"/>
      <c r="AE164" s="643"/>
      <c r="AF164" s="643"/>
      <c r="AG164" s="642"/>
      <c r="AN164" s="386"/>
    </row>
    <row r="165" spans="1:40" s="3" customFormat="1" ht="25.15" customHeight="1" thickBot="1">
      <c r="A165" s="308" t="str">
        <f t="shared" ref="A165:A171" si="53">MID(C165,6,4)&amp;RIGHT(C165,6)</f>
        <v>000-LWR000</v>
      </c>
      <c r="B165" s="440" t="s">
        <v>150</v>
      </c>
      <c r="C165" s="437" t="s">
        <v>151</v>
      </c>
      <c r="D165" s="442" t="s">
        <v>117</v>
      </c>
      <c r="E165" s="374">
        <v>0</v>
      </c>
      <c r="F165" s="59"/>
      <c r="G165" s="39"/>
      <c r="H165" s="59"/>
      <c r="I165" s="39"/>
      <c r="J165" s="39"/>
      <c r="K165" s="39"/>
      <c r="L165" s="174"/>
      <c r="M165" s="109"/>
      <c r="N165" s="475" t="s">
        <v>732</v>
      </c>
      <c r="O165" s="343"/>
      <c r="P165" s="343"/>
      <c r="Q165" s="343"/>
      <c r="R165" s="343"/>
      <c r="S165" s="662">
        <v>114.3</v>
      </c>
      <c r="T165" s="663"/>
      <c r="U165" s="664"/>
      <c r="V165" s="253"/>
      <c r="W165" s="562"/>
      <c r="X165" s="562">
        <f t="shared" ref="X165:X171" si="54">SUM(F165:H165)*S165</f>
        <v>0</v>
      </c>
      <c r="Y165" s="562">
        <f t="shared" si="36"/>
        <v>0</v>
      </c>
      <c r="Z165" s="563">
        <f t="shared" ref="Z165:Z171" si="55">VLOOKUP(N165,$A$190:$C$195,3,0)</f>
        <v>0</v>
      </c>
      <c r="AA165" s="562">
        <f t="shared" ref="AA165:AA171" si="56">Y165-(Y165*Z165)</f>
        <v>0</v>
      </c>
      <c r="AB165" s="562">
        <f t="shared" ref="AB165:AB171" si="57">S165*E165</f>
        <v>0</v>
      </c>
      <c r="AC165" s="562">
        <f t="shared" ref="AC165:AC171" si="58">AB165-(Z165*AB165)</f>
        <v>0</v>
      </c>
      <c r="AD165" s="162"/>
      <c r="AE165" s="643"/>
      <c r="AF165" s="643"/>
      <c r="AG165" s="642"/>
      <c r="AN165" s="503" t="str">
        <f>VLOOKUP(A165,mapa!B:I,MATCH('Dane podst. zamówienia'!$A$32,mapa!$B$1:$I$1,0),0)</f>
        <v>3000-000-716S-LWR000</v>
      </c>
    </row>
    <row r="166" spans="1:40" s="3" customFormat="1" ht="22.15" customHeight="1" thickBot="1">
      <c r="A166" s="308" t="str">
        <f t="shared" si="53"/>
        <v>000-LLU000</v>
      </c>
      <c r="B166" s="440" t="s">
        <v>130</v>
      </c>
      <c r="C166" s="437" t="s">
        <v>131</v>
      </c>
      <c r="D166" s="442" t="s">
        <v>36</v>
      </c>
      <c r="E166" s="374">
        <v>0</v>
      </c>
      <c r="F166" s="59"/>
      <c r="G166" s="39"/>
      <c r="H166" s="59"/>
      <c r="I166" s="39"/>
      <c r="J166" s="39"/>
      <c r="K166" s="39"/>
      <c r="L166" s="174"/>
      <c r="M166" s="109"/>
      <c r="N166" s="475" t="s">
        <v>732</v>
      </c>
      <c r="O166" s="343"/>
      <c r="P166" s="343"/>
      <c r="Q166" s="343"/>
      <c r="R166" s="343"/>
      <c r="S166" s="662">
        <v>15.6</v>
      </c>
      <c r="T166" s="663"/>
      <c r="U166" s="664"/>
      <c r="V166" s="253"/>
      <c r="W166" s="562"/>
      <c r="X166" s="562">
        <f t="shared" si="54"/>
        <v>0</v>
      </c>
      <c r="Y166" s="562">
        <f t="shared" si="36"/>
        <v>0</v>
      </c>
      <c r="Z166" s="563">
        <f t="shared" si="55"/>
        <v>0</v>
      </c>
      <c r="AA166" s="562">
        <f t="shared" si="56"/>
        <v>0</v>
      </c>
      <c r="AB166" s="562">
        <f t="shared" si="57"/>
        <v>0</v>
      </c>
      <c r="AC166" s="562">
        <f t="shared" si="58"/>
        <v>0</v>
      </c>
      <c r="AD166" s="162"/>
      <c r="AE166" s="643"/>
      <c r="AF166" s="643"/>
      <c r="AG166" s="642"/>
      <c r="AN166" s="503" t="str">
        <f>VLOOKUP(A166,mapa!B:I,MATCH('Dane podst. zamówienia'!$A$32,mapa!$B$1:$I$1,0),0)</f>
        <v>3000-000-716S-LLU000</v>
      </c>
    </row>
    <row r="167" spans="1:40" s="3" customFormat="1" ht="22.15" customHeight="1" thickBot="1">
      <c r="A167" s="308" t="str">
        <f t="shared" si="53"/>
        <v>000-LKU040</v>
      </c>
      <c r="B167" s="440" t="s">
        <v>132</v>
      </c>
      <c r="C167" s="437" t="s">
        <v>133</v>
      </c>
      <c r="D167" s="442" t="s">
        <v>134</v>
      </c>
      <c r="E167" s="374">
        <v>0</v>
      </c>
      <c r="F167" s="59"/>
      <c r="G167" s="39"/>
      <c r="H167" s="59"/>
      <c r="I167" s="39"/>
      <c r="J167" s="39"/>
      <c r="K167" s="39"/>
      <c r="L167" s="174"/>
      <c r="M167" s="109"/>
      <c r="N167" s="475" t="s">
        <v>732</v>
      </c>
      <c r="O167" s="343"/>
      <c r="P167" s="343"/>
      <c r="Q167" s="343"/>
      <c r="R167" s="343"/>
      <c r="S167" s="662">
        <v>77.400000000000006</v>
      </c>
      <c r="T167" s="663"/>
      <c r="U167" s="664"/>
      <c r="V167" s="253"/>
      <c r="W167" s="562"/>
      <c r="X167" s="562">
        <f t="shared" si="54"/>
        <v>0</v>
      </c>
      <c r="Y167" s="562">
        <f t="shared" si="36"/>
        <v>0</v>
      </c>
      <c r="Z167" s="563">
        <f t="shared" si="55"/>
        <v>0</v>
      </c>
      <c r="AA167" s="562">
        <f t="shared" si="56"/>
        <v>0</v>
      </c>
      <c r="AB167" s="562">
        <f t="shared" si="57"/>
        <v>0</v>
      </c>
      <c r="AC167" s="562">
        <f t="shared" si="58"/>
        <v>0</v>
      </c>
      <c r="AD167" s="162"/>
      <c r="AE167" s="643"/>
      <c r="AF167" s="643"/>
      <c r="AG167" s="642"/>
      <c r="AN167" s="503" t="str">
        <f>VLOOKUP(A167,mapa!B:I,MATCH('Dane podst. zamówienia'!$A$32,mapa!$B$1:$I$1,0),0)</f>
        <v>3000-000-716S-LKU040</v>
      </c>
    </row>
    <row r="168" spans="1:40" s="3" customFormat="1" ht="22.15" customHeight="1" thickBot="1">
      <c r="A168" s="308" t="str">
        <f t="shared" si="53"/>
        <v>000-LKU060</v>
      </c>
      <c r="B168" s="440" t="s">
        <v>135</v>
      </c>
      <c r="C168" s="437" t="s">
        <v>136</v>
      </c>
      <c r="D168" s="442" t="s">
        <v>134</v>
      </c>
      <c r="E168" s="374">
        <v>0</v>
      </c>
      <c r="F168" s="59"/>
      <c r="G168" s="39"/>
      <c r="H168" s="59"/>
      <c r="I168" s="39"/>
      <c r="J168" s="39"/>
      <c r="K168" s="39"/>
      <c r="L168" s="174"/>
      <c r="M168" s="109"/>
      <c r="N168" s="475" t="s">
        <v>732</v>
      </c>
      <c r="O168" s="343"/>
      <c r="P168" s="343"/>
      <c r="Q168" s="343"/>
      <c r="R168" s="343"/>
      <c r="S168" s="662">
        <v>95.6</v>
      </c>
      <c r="T168" s="663"/>
      <c r="U168" s="664"/>
      <c r="V168" s="253"/>
      <c r="W168" s="562"/>
      <c r="X168" s="562">
        <f t="shared" si="54"/>
        <v>0</v>
      </c>
      <c r="Y168" s="562">
        <f t="shared" si="36"/>
        <v>0</v>
      </c>
      <c r="Z168" s="563">
        <f t="shared" si="55"/>
        <v>0</v>
      </c>
      <c r="AA168" s="562">
        <f t="shared" si="56"/>
        <v>0</v>
      </c>
      <c r="AB168" s="562">
        <f t="shared" si="57"/>
        <v>0</v>
      </c>
      <c r="AC168" s="562">
        <f t="shared" si="58"/>
        <v>0</v>
      </c>
      <c r="AD168" s="162"/>
      <c r="AE168" s="643"/>
      <c r="AF168" s="643"/>
      <c r="AG168" s="642"/>
      <c r="AN168" s="503" t="str">
        <f>VLOOKUP(A168,mapa!B:I,MATCH('Dane podst. zamówienia'!$A$32,mapa!$B$1:$I$1,0),0)</f>
        <v>3000-000-716S-LKU060</v>
      </c>
    </row>
    <row r="169" spans="1:40" s="3" customFormat="1" ht="22.15" customHeight="1" thickBot="1">
      <c r="A169" s="308" t="str">
        <f t="shared" si="53"/>
        <v>000-LKU080</v>
      </c>
      <c r="B169" s="440" t="s">
        <v>137</v>
      </c>
      <c r="C169" s="437" t="s">
        <v>138</v>
      </c>
      <c r="D169" s="442" t="s">
        <v>134</v>
      </c>
      <c r="E169" s="374">
        <v>0</v>
      </c>
      <c r="F169" s="59"/>
      <c r="G169" s="39"/>
      <c r="H169" s="59"/>
      <c r="I169" s="39"/>
      <c r="J169" s="39"/>
      <c r="K169" s="39"/>
      <c r="L169" s="174"/>
      <c r="M169" s="109"/>
      <c r="N169" s="475" t="s">
        <v>732</v>
      </c>
      <c r="O169" s="343"/>
      <c r="P169" s="343"/>
      <c r="Q169" s="343"/>
      <c r="R169" s="343"/>
      <c r="S169" s="662">
        <v>121.1</v>
      </c>
      <c r="T169" s="663"/>
      <c r="U169" s="664"/>
      <c r="V169" s="253"/>
      <c r="W169" s="562"/>
      <c r="X169" s="562">
        <f t="shared" si="54"/>
        <v>0</v>
      </c>
      <c r="Y169" s="562">
        <f t="shared" si="36"/>
        <v>0</v>
      </c>
      <c r="Z169" s="563">
        <f t="shared" si="55"/>
        <v>0</v>
      </c>
      <c r="AA169" s="562">
        <f t="shared" si="56"/>
        <v>0</v>
      </c>
      <c r="AB169" s="562">
        <f t="shared" si="57"/>
        <v>0</v>
      </c>
      <c r="AC169" s="562">
        <f t="shared" si="58"/>
        <v>0</v>
      </c>
      <c r="AD169" s="162"/>
      <c r="AE169" s="643"/>
      <c r="AF169" s="643"/>
      <c r="AG169" s="642"/>
      <c r="AN169" s="503" t="str">
        <f>VLOOKUP(A169,mapa!B:I,MATCH('Dane podst. zamówienia'!$A$32,mapa!$B$1:$I$1,0),0)</f>
        <v>3000-000-716S-LKU080</v>
      </c>
    </row>
    <row r="170" spans="1:40" s="3" customFormat="1" ht="22.15" customHeight="1" thickBot="1">
      <c r="A170" s="308" t="str">
        <f t="shared" si="53"/>
        <v>000-LKU120</v>
      </c>
      <c r="B170" s="440" t="s">
        <v>139</v>
      </c>
      <c r="C170" s="437" t="s">
        <v>140</v>
      </c>
      <c r="D170" s="442" t="s">
        <v>134</v>
      </c>
      <c r="E170" s="374">
        <v>0</v>
      </c>
      <c r="F170" s="59"/>
      <c r="G170" s="39"/>
      <c r="H170" s="59"/>
      <c r="I170" s="39"/>
      <c r="J170" s="39"/>
      <c r="K170" s="39"/>
      <c r="L170" s="174"/>
      <c r="M170" s="109"/>
      <c r="N170" s="475" t="s">
        <v>732</v>
      </c>
      <c r="O170" s="343"/>
      <c r="P170" s="343"/>
      <c r="Q170" s="343"/>
      <c r="R170" s="343"/>
      <c r="S170" s="662">
        <v>168.3</v>
      </c>
      <c r="T170" s="663"/>
      <c r="U170" s="664"/>
      <c r="V170" s="253"/>
      <c r="W170" s="562"/>
      <c r="X170" s="562">
        <f t="shared" si="54"/>
        <v>0</v>
      </c>
      <c r="Y170" s="562">
        <f t="shared" si="36"/>
        <v>0</v>
      </c>
      <c r="Z170" s="563">
        <f t="shared" si="55"/>
        <v>0</v>
      </c>
      <c r="AA170" s="562">
        <f t="shared" si="56"/>
        <v>0</v>
      </c>
      <c r="AB170" s="562">
        <f t="shared" si="57"/>
        <v>0</v>
      </c>
      <c r="AC170" s="562">
        <f t="shared" si="58"/>
        <v>0</v>
      </c>
      <c r="AD170" s="162"/>
      <c r="AE170" s="643"/>
      <c r="AF170" s="643"/>
      <c r="AG170" s="642"/>
      <c r="AN170" s="503" t="str">
        <f>VLOOKUP(A170,mapa!B:I,MATCH('Dane podst. zamówienia'!$A$32,mapa!$B$1:$I$1,0),0)</f>
        <v>3000-000-716S-LKU120</v>
      </c>
    </row>
    <row r="171" spans="1:40" s="3" customFormat="1" ht="22.15" customHeight="1" thickBot="1">
      <c r="A171" s="308" t="str">
        <f t="shared" si="53"/>
        <v>000-LKU200</v>
      </c>
      <c r="B171" s="440" t="s">
        <v>141</v>
      </c>
      <c r="C171" s="437" t="s">
        <v>142</v>
      </c>
      <c r="D171" s="442" t="s">
        <v>134</v>
      </c>
      <c r="E171" s="374">
        <v>0</v>
      </c>
      <c r="F171" s="59"/>
      <c r="G171" s="39"/>
      <c r="H171" s="59"/>
      <c r="I171" s="39"/>
      <c r="J171" s="39"/>
      <c r="K171" s="39"/>
      <c r="L171" s="174"/>
      <c r="M171" s="109"/>
      <c r="N171" s="475" t="s">
        <v>732</v>
      </c>
      <c r="O171" s="343"/>
      <c r="P171" s="343"/>
      <c r="Q171" s="343"/>
      <c r="R171" s="343"/>
      <c r="S171" s="662">
        <v>297.3</v>
      </c>
      <c r="T171" s="663"/>
      <c r="U171" s="664"/>
      <c r="V171" s="253"/>
      <c r="W171" s="562"/>
      <c r="X171" s="562">
        <f t="shared" si="54"/>
        <v>0</v>
      </c>
      <c r="Y171" s="562">
        <f t="shared" si="36"/>
        <v>0</v>
      </c>
      <c r="Z171" s="563">
        <f t="shared" si="55"/>
        <v>0</v>
      </c>
      <c r="AA171" s="562">
        <f t="shared" si="56"/>
        <v>0</v>
      </c>
      <c r="AB171" s="562">
        <f t="shared" si="57"/>
        <v>0</v>
      </c>
      <c r="AC171" s="562">
        <f t="shared" si="58"/>
        <v>0</v>
      </c>
      <c r="AD171" s="162"/>
      <c r="AE171" s="643"/>
      <c r="AF171" s="643"/>
      <c r="AG171" s="642"/>
      <c r="AN171" s="503" t="str">
        <f>VLOOKUP(A171,mapa!B:I,MATCH('Dane podst. zamówienia'!$A$32,mapa!$B$1:$I$1,0),0)</f>
        <v>3000-000-716S-LKU200</v>
      </c>
    </row>
    <row r="172" spans="1:40" s="3" customFormat="1" ht="25.9" customHeight="1">
      <c r="A172" s="262"/>
      <c r="B172" s="176"/>
      <c r="C172" s="177"/>
      <c r="D172" s="178"/>
      <c r="E172" s="430" t="s">
        <v>299</v>
      </c>
      <c r="F172" s="178"/>
      <c r="G172" s="178"/>
      <c r="H172" s="39"/>
      <c r="I172" s="39"/>
      <c r="J172" s="39"/>
      <c r="K172" s="39"/>
      <c r="L172" s="174"/>
      <c r="M172" s="109"/>
      <c r="N172" s="485"/>
      <c r="O172" s="343"/>
      <c r="P172" s="343"/>
      <c r="Q172" s="343"/>
      <c r="R172" s="343"/>
      <c r="S172" s="345"/>
      <c r="T172" s="345"/>
      <c r="U172" s="345"/>
      <c r="V172" s="253"/>
      <c r="W172" s="562"/>
      <c r="X172" s="562"/>
      <c r="Y172" s="562"/>
      <c r="Z172" s="562"/>
      <c r="AA172" s="562"/>
      <c r="AB172" s="562"/>
      <c r="AC172" s="562"/>
      <c r="AD172" s="162"/>
      <c r="AE172" s="358"/>
      <c r="AN172" s="386"/>
    </row>
    <row r="173" spans="1:40" s="3" customFormat="1" ht="22.15" customHeight="1">
      <c r="A173" s="262"/>
      <c r="B173" s="166" t="s">
        <v>590</v>
      </c>
      <c r="C173" s="167"/>
      <c r="D173" s="168"/>
      <c r="E173" s="169"/>
      <c r="F173" s="168"/>
      <c r="G173" s="168"/>
      <c r="H173" s="170"/>
      <c r="I173" s="168"/>
      <c r="J173" s="171"/>
      <c r="K173" s="171"/>
      <c r="L173" s="172"/>
      <c r="M173" s="109"/>
      <c r="N173" s="485"/>
      <c r="O173" s="343"/>
      <c r="P173" s="343"/>
      <c r="Q173" s="343"/>
      <c r="R173" s="343"/>
      <c r="S173" s="345"/>
      <c r="T173" s="345"/>
      <c r="U173" s="345"/>
      <c r="V173" s="253"/>
      <c r="W173" s="562"/>
      <c r="X173" s="562"/>
      <c r="Y173" s="562"/>
      <c r="Z173" s="562"/>
      <c r="AA173" s="562"/>
      <c r="AB173" s="562"/>
      <c r="AC173" s="562"/>
      <c r="AD173" s="162"/>
      <c r="AE173" s="358"/>
      <c r="AN173" s="386"/>
    </row>
    <row r="174" spans="1:40" s="3" customFormat="1" ht="7.15" customHeight="1">
      <c r="A174" s="262"/>
      <c r="B174" s="176"/>
      <c r="C174" s="177"/>
      <c r="D174" s="665" t="s">
        <v>184</v>
      </c>
      <c r="E174" s="126"/>
      <c r="F174" s="178"/>
      <c r="G174" s="178"/>
      <c r="H174" s="39"/>
      <c r="I174" s="39"/>
      <c r="J174" s="39"/>
      <c r="K174" s="39"/>
      <c r="L174" s="174"/>
      <c r="M174" s="109"/>
      <c r="N174" s="485"/>
      <c r="O174" s="343"/>
      <c r="P174" s="343"/>
      <c r="Q174" s="343"/>
      <c r="R174" s="343"/>
      <c r="S174" s="345"/>
      <c r="T174" s="345"/>
      <c r="U174" s="345"/>
      <c r="V174" s="253"/>
      <c r="W174" s="562"/>
      <c r="X174" s="562"/>
      <c r="Y174" s="562"/>
      <c r="Z174" s="562"/>
      <c r="AA174" s="562"/>
      <c r="AB174" s="562"/>
      <c r="AC174" s="562"/>
      <c r="AD174" s="162"/>
      <c r="AE174" s="358"/>
      <c r="AN174" s="386"/>
    </row>
    <row r="175" spans="1:40" s="3" customFormat="1" ht="21.6" customHeight="1" thickBot="1">
      <c r="A175" s="262"/>
      <c r="B175" s="450" t="s">
        <v>591</v>
      </c>
      <c r="C175" s="45" t="s">
        <v>0</v>
      </c>
      <c r="D175" s="666"/>
      <c r="E175" s="375" t="s">
        <v>662</v>
      </c>
      <c r="F175" s="46" t="s">
        <v>667</v>
      </c>
      <c r="G175" s="178"/>
      <c r="H175" s="39"/>
      <c r="I175" s="39"/>
      <c r="J175" s="39"/>
      <c r="K175" s="39"/>
      <c r="L175" s="174"/>
      <c r="M175" s="109"/>
      <c r="N175" s="485"/>
      <c r="O175" s="343"/>
      <c r="P175" s="343"/>
      <c r="Q175" s="343"/>
      <c r="R175" s="343"/>
      <c r="S175" s="345"/>
      <c r="T175" s="345"/>
      <c r="U175" s="345"/>
      <c r="V175" s="253"/>
      <c r="W175" s="562"/>
      <c r="X175" s="562"/>
      <c r="Y175" s="562"/>
      <c r="Z175" s="562"/>
      <c r="AA175" s="562"/>
      <c r="AB175" s="562"/>
      <c r="AC175" s="562"/>
      <c r="AD175" s="162"/>
      <c r="AE175" s="358"/>
      <c r="AN175" s="386"/>
    </row>
    <row r="176" spans="1:40" s="3" customFormat="1" ht="25.9" customHeight="1" thickBot="1">
      <c r="A176" s="262"/>
      <c r="B176" s="440" t="s">
        <v>673</v>
      </c>
      <c r="C176" s="437" t="s">
        <v>438</v>
      </c>
      <c r="D176" s="442" t="s">
        <v>35</v>
      </c>
      <c r="E176" s="374">
        <f>VLOOKUP(C176,Szacunek!$B$1:$H$192,7,0)*WYKON_KALK</f>
        <v>0</v>
      </c>
      <c r="F176" s="59"/>
      <c r="G176" s="178"/>
      <c r="H176" s="39"/>
      <c r="I176" s="39"/>
      <c r="J176" s="39"/>
      <c r="K176" s="39"/>
      <c r="L176" s="174"/>
      <c r="M176" s="109"/>
      <c r="N176" s="475" t="s">
        <v>78</v>
      </c>
      <c r="O176" s="343"/>
      <c r="P176" s="343"/>
      <c r="Q176" s="343"/>
      <c r="R176" s="343"/>
      <c r="S176" s="662">
        <v>44.9</v>
      </c>
      <c r="T176" s="663"/>
      <c r="U176" s="664"/>
      <c r="V176" s="253"/>
      <c r="W176" s="562"/>
      <c r="X176" s="562">
        <f t="shared" ref="X176:X184" si="59">SUM(F176:G176)*S176</f>
        <v>0</v>
      </c>
      <c r="Y176" s="562">
        <f t="shared" ref="Y176:Y184" si="60">SUM(V176:X176)</f>
        <v>0</v>
      </c>
      <c r="Z176" s="563">
        <f t="shared" ref="Z176:Z184" si="61">VLOOKUP(N176,$A$190:$C$195,3,0)</f>
        <v>0</v>
      </c>
      <c r="AA176" s="562">
        <f t="shared" ref="AA176:AA184" si="62">Y176-(Y176*Z176)</f>
        <v>0</v>
      </c>
      <c r="AB176" s="562">
        <f t="shared" ref="AB176:AB184" si="63">S176*E176</f>
        <v>0</v>
      </c>
      <c r="AC176" s="562">
        <f t="shared" ref="AC176:AC184" si="64">AB176-(Z176*AB176)</f>
        <v>0</v>
      </c>
      <c r="AD176" s="162"/>
      <c r="AE176" s="358"/>
      <c r="AN176" s="503" t="str">
        <f>C176</f>
        <v>1004-000-000X-KGS000</v>
      </c>
    </row>
    <row r="177" spans="1:40" s="3" customFormat="1" ht="25.9" customHeight="1" thickBot="1">
      <c r="A177" s="262"/>
      <c r="B177" s="440" t="s">
        <v>668</v>
      </c>
      <c r="C177" s="437" t="s">
        <v>439</v>
      </c>
      <c r="D177" s="442" t="s">
        <v>35</v>
      </c>
      <c r="E177" s="374">
        <f>VLOOKUP(C177,Szacunek!$B$1:$H$192,7,0)*WYKON_KALK</f>
        <v>0</v>
      </c>
      <c r="F177" s="59"/>
      <c r="G177" s="178"/>
      <c r="H177" s="39"/>
      <c r="I177" s="39"/>
      <c r="J177" s="39"/>
      <c r="K177" s="39"/>
      <c r="L177" s="174"/>
      <c r="M177" s="109"/>
      <c r="N177" s="475" t="s">
        <v>78</v>
      </c>
      <c r="O177" s="343"/>
      <c r="P177" s="343"/>
      <c r="Q177" s="343"/>
      <c r="R177" s="343"/>
      <c r="S177" s="662">
        <v>838.9</v>
      </c>
      <c r="T177" s="663"/>
      <c r="U177" s="664"/>
      <c r="V177" s="253"/>
      <c r="W177" s="562"/>
      <c r="X177" s="562">
        <f t="shared" si="59"/>
        <v>0</v>
      </c>
      <c r="Y177" s="562">
        <f t="shared" si="60"/>
        <v>0</v>
      </c>
      <c r="Z177" s="563">
        <f t="shared" si="61"/>
        <v>0</v>
      </c>
      <c r="AA177" s="562">
        <f t="shared" si="62"/>
        <v>0</v>
      </c>
      <c r="AB177" s="562">
        <f t="shared" si="63"/>
        <v>0</v>
      </c>
      <c r="AC177" s="562">
        <f t="shared" si="64"/>
        <v>0</v>
      </c>
      <c r="AD177" s="162"/>
      <c r="AE177" s="358"/>
      <c r="AN177" s="503" t="str">
        <f t="shared" ref="AN177:AN184" si="65">C177</f>
        <v>1004-000-000X-KRT000</v>
      </c>
    </row>
    <row r="178" spans="1:40" s="3" customFormat="1" ht="25.9" customHeight="1" thickBot="1">
      <c r="A178" s="262"/>
      <c r="B178" s="440" t="s">
        <v>669</v>
      </c>
      <c r="C178" s="437" t="s">
        <v>440</v>
      </c>
      <c r="D178" s="442" t="s">
        <v>35</v>
      </c>
      <c r="E178" s="374">
        <f>VLOOKUP(C178,Szacunek!$B$1:$H$192,7,0)*WYKON_KALK</f>
        <v>0</v>
      </c>
      <c r="F178" s="59"/>
      <c r="G178" s="178"/>
      <c r="H178" s="39"/>
      <c r="I178" s="39"/>
      <c r="J178" s="39"/>
      <c r="K178" s="39"/>
      <c r="L178" s="174"/>
      <c r="M178" s="109"/>
      <c r="N178" s="475" t="s">
        <v>78</v>
      </c>
      <c r="O178" s="343"/>
      <c r="P178" s="343"/>
      <c r="Q178" s="343"/>
      <c r="R178" s="343"/>
      <c r="S178" s="662">
        <v>798.6</v>
      </c>
      <c r="T178" s="663"/>
      <c r="U178" s="664"/>
      <c r="V178" s="253"/>
      <c r="W178" s="562"/>
      <c r="X178" s="562">
        <f t="shared" si="59"/>
        <v>0</v>
      </c>
      <c r="Y178" s="562">
        <f t="shared" si="60"/>
        <v>0</v>
      </c>
      <c r="Z178" s="563">
        <f t="shared" si="61"/>
        <v>0</v>
      </c>
      <c r="AA178" s="562">
        <f t="shared" si="62"/>
        <v>0</v>
      </c>
      <c r="AB178" s="562">
        <f t="shared" si="63"/>
        <v>0</v>
      </c>
      <c r="AC178" s="562">
        <f t="shared" si="64"/>
        <v>0</v>
      </c>
      <c r="AD178" s="162"/>
      <c r="AE178" s="358"/>
      <c r="AN178" s="503" t="str">
        <f t="shared" si="65"/>
        <v>1004-000-000X-KCW000</v>
      </c>
    </row>
    <row r="179" spans="1:40" s="3" customFormat="1" ht="25.9" customHeight="1" thickBot="1">
      <c r="A179" s="262"/>
      <c r="B179" s="440" t="s">
        <v>670</v>
      </c>
      <c r="C179" s="437" t="s">
        <v>441</v>
      </c>
      <c r="D179" s="442" t="s">
        <v>35</v>
      </c>
      <c r="E179" s="374">
        <f>VLOOKUP(C179,Szacunek!$B$1:$H$192,7,0)*WYKON_KALK</f>
        <v>0</v>
      </c>
      <c r="F179" s="59"/>
      <c r="G179" s="178"/>
      <c r="H179" s="39"/>
      <c r="I179" s="39"/>
      <c r="J179" s="39"/>
      <c r="K179" s="39"/>
      <c r="L179" s="174"/>
      <c r="M179" s="109"/>
      <c r="N179" s="475" t="s">
        <v>78</v>
      </c>
      <c r="O179" s="343"/>
      <c r="P179" s="343"/>
      <c r="Q179" s="343"/>
      <c r="R179" s="343"/>
      <c r="S179" s="662">
        <v>229.9</v>
      </c>
      <c r="T179" s="663"/>
      <c r="U179" s="664"/>
      <c r="V179" s="253"/>
      <c r="W179" s="562"/>
      <c r="X179" s="562">
        <f t="shared" si="59"/>
        <v>0</v>
      </c>
      <c r="Y179" s="562">
        <f t="shared" si="60"/>
        <v>0</v>
      </c>
      <c r="Z179" s="563">
        <f t="shared" si="61"/>
        <v>0</v>
      </c>
      <c r="AA179" s="562">
        <f t="shared" si="62"/>
        <v>0</v>
      </c>
      <c r="AB179" s="562">
        <f t="shared" si="63"/>
        <v>0</v>
      </c>
      <c r="AC179" s="562">
        <f t="shared" si="64"/>
        <v>0</v>
      </c>
      <c r="AD179" s="162"/>
      <c r="AE179" s="358"/>
      <c r="AN179" s="503" t="str">
        <f t="shared" si="65"/>
        <v>1004-000-000X-KCT000</v>
      </c>
    </row>
    <row r="180" spans="1:40" s="3" customFormat="1" ht="25.9" customHeight="1" thickBot="1">
      <c r="A180" s="262"/>
      <c r="B180" s="440" t="s">
        <v>671</v>
      </c>
      <c r="C180" s="437" t="s">
        <v>442</v>
      </c>
      <c r="D180" s="442" t="s">
        <v>35</v>
      </c>
      <c r="E180" s="374">
        <f>VLOOKUP(C180,Szacunek!$B$1:$H$192,7,0)*WYKON_KALK</f>
        <v>0</v>
      </c>
      <c r="F180" s="59"/>
      <c r="G180" s="178"/>
      <c r="H180" s="39"/>
      <c r="I180" s="39"/>
      <c r="J180" s="39"/>
      <c r="K180" s="39"/>
      <c r="L180" s="174"/>
      <c r="M180" s="109"/>
      <c r="N180" s="475" t="s">
        <v>78</v>
      </c>
      <c r="O180" s="343"/>
      <c r="P180" s="343"/>
      <c r="Q180" s="343"/>
      <c r="R180" s="343"/>
      <c r="S180" s="662">
        <v>39.5</v>
      </c>
      <c r="T180" s="663"/>
      <c r="U180" s="664"/>
      <c r="V180" s="253"/>
      <c r="W180" s="562"/>
      <c r="X180" s="562">
        <f t="shared" si="59"/>
        <v>0</v>
      </c>
      <c r="Y180" s="562">
        <f t="shared" si="60"/>
        <v>0</v>
      </c>
      <c r="Z180" s="563">
        <f t="shared" si="61"/>
        <v>0</v>
      </c>
      <c r="AA180" s="562">
        <f t="shared" si="62"/>
        <v>0</v>
      </c>
      <c r="AB180" s="562">
        <f t="shared" si="63"/>
        <v>0</v>
      </c>
      <c r="AC180" s="562">
        <f t="shared" si="64"/>
        <v>0</v>
      </c>
      <c r="AD180" s="162"/>
      <c r="AE180" s="358"/>
      <c r="AN180" s="503" t="str">
        <f t="shared" si="65"/>
        <v>1004-000-000X-KPZ000</v>
      </c>
    </row>
    <row r="181" spans="1:40" s="3" customFormat="1" ht="25.9" customHeight="1" thickBot="1">
      <c r="A181" s="262"/>
      <c r="B181" s="440" t="s">
        <v>674</v>
      </c>
      <c r="C181" s="437" t="s">
        <v>443</v>
      </c>
      <c r="D181" s="442" t="s">
        <v>35</v>
      </c>
      <c r="E181" s="374">
        <f>VLOOKUP(C181,Szacunek!$B$1:$H$192,7,0)*WYKON_KALK</f>
        <v>0</v>
      </c>
      <c r="F181" s="59"/>
      <c r="G181" s="178"/>
      <c r="H181" s="39"/>
      <c r="I181" s="39"/>
      <c r="J181" s="39"/>
      <c r="K181" s="39"/>
      <c r="L181" s="174"/>
      <c r="M181" s="109"/>
      <c r="N181" s="475" t="s">
        <v>78</v>
      </c>
      <c r="O181" s="343"/>
      <c r="P181" s="343"/>
      <c r="Q181" s="343"/>
      <c r="R181" s="343"/>
      <c r="S181" s="662">
        <v>26.6</v>
      </c>
      <c r="T181" s="663"/>
      <c r="U181" s="664"/>
      <c r="V181" s="253"/>
      <c r="W181" s="562"/>
      <c r="X181" s="562">
        <f t="shared" si="59"/>
        <v>0</v>
      </c>
      <c r="Y181" s="562">
        <f t="shared" si="60"/>
        <v>0</v>
      </c>
      <c r="Z181" s="563">
        <f t="shared" si="61"/>
        <v>0</v>
      </c>
      <c r="AA181" s="562">
        <f t="shared" si="62"/>
        <v>0</v>
      </c>
      <c r="AB181" s="562">
        <f t="shared" si="63"/>
        <v>0</v>
      </c>
      <c r="AC181" s="562">
        <f t="shared" si="64"/>
        <v>0</v>
      </c>
      <c r="AD181" s="162"/>
      <c r="AE181" s="358"/>
      <c r="AN181" s="503" t="str">
        <f t="shared" si="65"/>
        <v>1004-000-000X-TRK000</v>
      </c>
    </row>
    <row r="182" spans="1:40" s="3" customFormat="1" ht="25.9" customHeight="1" thickBot="1">
      <c r="A182" s="262"/>
      <c r="B182" s="440" t="s">
        <v>677</v>
      </c>
      <c r="C182" s="437" t="s">
        <v>678</v>
      </c>
      <c r="D182" s="442" t="s">
        <v>683</v>
      </c>
      <c r="E182" s="374">
        <f>VLOOKUP(C182,Szacunek!$B$1:$H$192,7,0)*WYKON_KALK</f>
        <v>0</v>
      </c>
      <c r="F182" s="59"/>
      <c r="G182" s="178"/>
      <c r="H182" s="39"/>
      <c r="I182" s="39"/>
      <c r="J182" s="39"/>
      <c r="K182" s="39"/>
      <c r="L182" s="174"/>
      <c r="M182" s="109"/>
      <c r="N182" s="475" t="s">
        <v>78</v>
      </c>
      <c r="O182" s="343"/>
      <c r="P182" s="343"/>
      <c r="Q182" s="343"/>
      <c r="R182" s="343"/>
      <c r="S182" s="662">
        <v>45.5</v>
      </c>
      <c r="T182" s="663"/>
      <c r="U182" s="664"/>
      <c r="V182" s="253"/>
      <c r="W182" s="562"/>
      <c r="X182" s="562">
        <f t="shared" si="59"/>
        <v>0</v>
      </c>
      <c r="Y182" s="562">
        <f t="shared" si="60"/>
        <v>0</v>
      </c>
      <c r="Z182" s="563">
        <f t="shared" si="61"/>
        <v>0</v>
      </c>
      <c r="AA182" s="562">
        <f t="shared" si="62"/>
        <v>0</v>
      </c>
      <c r="AB182" s="562">
        <f t="shared" si="63"/>
        <v>0</v>
      </c>
      <c r="AC182" s="562">
        <f t="shared" si="64"/>
        <v>0</v>
      </c>
      <c r="AD182" s="162"/>
      <c r="AE182" s="358"/>
      <c r="AN182" s="503" t="str">
        <f t="shared" si="65"/>
        <v>1004-000-000X-MRU000</v>
      </c>
    </row>
    <row r="183" spans="1:40" s="3" customFormat="1" ht="25.9" customHeight="1" thickBot="1">
      <c r="A183" s="262"/>
      <c r="B183" s="440" t="s">
        <v>679</v>
      </c>
      <c r="C183" s="437" t="s">
        <v>680</v>
      </c>
      <c r="D183" s="442" t="s">
        <v>35</v>
      </c>
      <c r="E183" s="374">
        <f>VLOOKUP(C183,Szacunek!$B$1:$H$192,7,0)*WYKON_KALK</f>
        <v>0</v>
      </c>
      <c r="F183" s="59"/>
      <c r="G183" s="178"/>
      <c r="H183" s="39"/>
      <c r="I183" s="39"/>
      <c r="J183" s="39"/>
      <c r="K183" s="39"/>
      <c r="L183" s="174"/>
      <c r="M183" s="109"/>
      <c r="N183" s="475" t="s">
        <v>78</v>
      </c>
      <c r="O183" s="343"/>
      <c r="P183" s="343"/>
      <c r="Q183" s="343"/>
      <c r="R183" s="343"/>
      <c r="S183" s="662">
        <v>358</v>
      </c>
      <c r="T183" s="663"/>
      <c r="U183" s="664"/>
      <c r="V183" s="253"/>
      <c r="W183" s="562"/>
      <c r="X183" s="562">
        <f t="shared" si="59"/>
        <v>0</v>
      </c>
      <c r="Y183" s="562">
        <f t="shared" si="60"/>
        <v>0</v>
      </c>
      <c r="Z183" s="563">
        <f t="shared" si="61"/>
        <v>0</v>
      </c>
      <c r="AA183" s="562">
        <f t="shared" si="62"/>
        <v>0</v>
      </c>
      <c r="AB183" s="562">
        <f t="shared" si="63"/>
        <v>0</v>
      </c>
      <c r="AC183" s="562">
        <f t="shared" si="64"/>
        <v>0</v>
      </c>
      <c r="AD183" s="162"/>
      <c r="AE183" s="358"/>
      <c r="AN183" s="503" t="str">
        <f t="shared" si="65"/>
        <v>1004-000-000X-LIN020</v>
      </c>
    </row>
    <row r="184" spans="1:40" s="3" customFormat="1" ht="25.9" customHeight="1" thickBot="1">
      <c r="A184" s="262"/>
      <c r="B184" s="440" t="s">
        <v>672</v>
      </c>
      <c r="C184" s="437" t="s">
        <v>444</v>
      </c>
      <c r="D184" s="442" t="s">
        <v>35</v>
      </c>
      <c r="E184" s="374">
        <f>VLOOKUP(C184,Szacunek!$B$1:$H$192,7,0)*WYKON_KALK</f>
        <v>0</v>
      </c>
      <c r="F184" s="59"/>
      <c r="G184" s="178"/>
      <c r="H184" s="39"/>
      <c r="I184" s="39"/>
      <c r="J184" s="39"/>
      <c r="K184" s="39"/>
      <c r="L184" s="174"/>
      <c r="M184" s="109"/>
      <c r="N184" s="475" t="s">
        <v>78</v>
      </c>
      <c r="O184" s="343"/>
      <c r="P184" s="343"/>
      <c r="Q184" s="343"/>
      <c r="R184" s="343"/>
      <c r="S184" s="662">
        <v>32.700000000000003</v>
      </c>
      <c r="T184" s="663"/>
      <c r="U184" s="664"/>
      <c r="V184" s="253"/>
      <c r="W184" s="562"/>
      <c r="X184" s="562">
        <f t="shared" si="59"/>
        <v>0</v>
      </c>
      <c r="Y184" s="562">
        <f t="shared" si="60"/>
        <v>0</v>
      </c>
      <c r="Z184" s="563">
        <f t="shared" si="61"/>
        <v>0</v>
      </c>
      <c r="AA184" s="562">
        <f t="shared" si="62"/>
        <v>0</v>
      </c>
      <c r="AB184" s="562">
        <f t="shared" si="63"/>
        <v>0</v>
      </c>
      <c r="AC184" s="562">
        <f t="shared" si="64"/>
        <v>0</v>
      </c>
      <c r="AD184" s="162"/>
      <c r="AE184" s="358"/>
      <c r="AN184" s="503" t="str">
        <f t="shared" si="65"/>
        <v>1004-000-000X-LIW000</v>
      </c>
    </row>
    <row r="185" spans="1:40" s="3" customFormat="1" ht="25.9" customHeight="1">
      <c r="A185" s="262"/>
      <c r="B185" s="176"/>
      <c r="C185" s="177"/>
      <c r="D185" s="178"/>
      <c r="E185" s="430" t="s">
        <v>299</v>
      </c>
      <c r="F185" s="178"/>
      <c r="G185" s="178"/>
      <c r="H185" s="39"/>
      <c r="I185" s="39"/>
      <c r="J185" s="39"/>
      <c r="K185" s="39"/>
      <c r="L185" s="43"/>
      <c r="M185" s="109"/>
      <c r="N185" s="485"/>
      <c r="O185" s="343"/>
      <c r="P185" s="343"/>
      <c r="Q185" s="343"/>
      <c r="R185" s="343"/>
      <c r="S185" s="350"/>
      <c r="T185" s="350"/>
      <c r="U185" s="350"/>
      <c r="V185" s="253"/>
      <c r="W185" s="253"/>
      <c r="X185" s="256"/>
      <c r="Y185" s="256"/>
      <c r="Z185" s="256"/>
      <c r="AA185" s="256"/>
      <c r="AB185" s="256"/>
      <c r="AC185" s="256"/>
      <c r="AD185" s="162"/>
      <c r="AE185" s="358"/>
      <c r="AN185" s="326"/>
    </row>
    <row r="186" spans="1:40" s="3" customFormat="1" ht="25.9" customHeight="1">
      <c r="A186" s="262"/>
      <c r="B186" s="176"/>
      <c r="C186" s="177"/>
      <c r="D186" s="178"/>
      <c r="E186" s="126"/>
      <c r="F186" s="178"/>
      <c r="G186" s="178"/>
      <c r="H186" s="39"/>
      <c r="I186" s="39"/>
      <c r="J186" s="39"/>
      <c r="K186" s="39"/>
      <c r="L186" s="43"/>
      <c r="M186" s="109"/>
      <c r="N186" s="485"/>
      <c r="O186" s="343"/>
      <c r="P186" s="343"/>
      <c r="Q186" s="343"/>
      <c r="R186" s="343"/>
      <c r="S186" s="350"/>
      <c r="T186" s="350"/>
      <c r="U186" s="350"/>
      <c r="V186" s="253"/>
      <c r="W186" s="253"/>
      <c r="X186" s="256"/>
      <c r="Y186" s="256"/>
      <c r="Z186" s="256"/>
      <c r="AA186" s="256"/>
      <c r="AB186" s="256"/>
      <c r="AC186" s="256"/>
      <c r="AD186" s="162"/>
      <c r="AE186" s="358"/>
      <c r="AN186" s="326"/>
    </row>
    <row r="187" spans="1:40" s="3" customFormat="1" ht="23.25" customHeight="1">
      <c r="A187" s="262"/>
      <c r="C187" s="619" t="s">
        <v>8</v>
      </c>
      <c r="D187" s="58"/>
      <c r="E187" s="455" t="s">
        <v>299</v>
      </c>
      <c r="F187" s="58"/>
      <c r="G187" s="39"/>
      <c r="H187" s="58"/>
      <c r="I187" s="67"/>
      <c r="J187" s="43"/>
      <c r="K187" s="43"/>
      <c r="L187" s="137" t="s">
        <v>745</v>
      </c>
      <c r="M187" s="43"/>
      <c r="N187" s="484"/>
      <c r="O187" s="343"/>
      <c r="P187" s="343"/>
      <c r="Q187" s="343"/>
      <c r="R187" s="343"/>
      <c r="S187" s="333"/>
      <c r="T187" s="333"/>
      <c r="U187" s="333"/>
      <c r="V187" s="253"/>
      <c r="W187" s="253"/>
      <c r="X187" s="253"/>
      <c r="Y187" s="253"/>
      <c r="Z187" s="253"/>
      <c r="AA187" s="253"/>
      <c r="AB187" s="253"/>
      <c r="AC187" s="253"/>
      <c r="AD187" s="162"/>
      <c r="AE187" s="358"/>
      <c r="AN187" s="326"/>
    </row>
    <row r="188" spans="1:40" s="135" customFormat="1" ht="18.600000000000001" customHeight="1">
      <c r="A188" s="311"/>
      <c r="B188" s="107"/>
      <c r="C188" s="473" t="s">
        <v>5</v>
      </c>
      <c r="D188" s="471">
        <f>SUM(Y14:Y184)</f>
        <v>0</v>
      </c>
      <c r="E188" s="472">
        <f>SUM(AB14:AB184)</f>
        <v>0</v>
      </c>
      <c r="F188" s="134"/>
      <c r="G188" s="551"/>
      <c r="H188" s="551"/>
      <c r="I188" s="551"/>
      <c r="J188" s="551"/>
      <c r="K188" s="551"/>
      <c r="L188" s="551"/>
      <c r="M188" s="116"/>
      <c r="N188" s="487"/>
      <c r="O188" s="351"/>
      <c r="P188" s="351"/>
      <c r="Q188" s="351"/>
      <c r="R188" s="351"/>
      <c r="S188" s="352"/>
      <c r="T188" s="352"/>
      <c r="U188" s="352"/>
      <c r="V188" s="253"/>
      <c r="W188" s="253"/>
      <c r="X188" s="253"/>
      <c r="Y188" s="253"/>
      <c r="Z188" s="253"/>
      <c r="AA188" s="253"/>
      <c r="AB188" s="253"/>
      <c r="AC188" s="253"/>
      <c r="AD188" s="163"/>
      <c r="AE188" s="359"/>
      <c r="AN188" s="327"/>
    </row>
    <row r="189" spans="1:40" s="135" customFormat="1" ht="9.75" customHeight="1">
      <c r="A189" s="311"/>
      <c r="B189" s="107"/>
      <c r="C189" s="180"/>
      <c r="D189" s="451"/>
      <c r="E189" s="452"/>
      <c r="F189" s="134"/>
      <c r="G189" s="551"/>
      <c r="H189" s="551"/>
      <c r="I189" s="551"/>
      <c r="J189" s="551"/>
      <c r="K189" s="551"/>
      <c r="L189" s="551"/>
      <c r="M189" s="116"/>
      <c r="N189" s="487"/>
      <c r="O189" s="351"/>
      <c r="P189" s="351"/>
      <c r="Q189" s="351"/>
      <c r="R189" s="351"/>
      <c r="S189" s="352"/>
      <c r="T189" s="352"/>
      <c r="U189" s="352"/>
      <c r="V189" s="253"/>
      <c r="W189" s="253"/>
      <c r="X189" s="253"/>
      <c r="Y189" s="253"/>
      <c r="Z189" s="253"/>
      <c r="AA189" s="253"/>
      <c r="AB189" s="253"/>
      <c r="AC189" s="253"/>
      <c r="AD189" s="163"/>
      <c r="AE189" s="359"/>
      <c r="AN189" s="327"/>
    </row>
    <row r="190" spans="1:40" s="3" customFormat="1" ht="16.5" customHeight="1">
      <c r="A190" s="262" t="s">
        <v>279</v>
      </c>
      <c r="B190" s="617" t="s">
        <v>733</v>
      </c>
      <c r="C190" s="616">
        <v>0</v>
      </c>
      <c r="D190" s="568">
        <f t="shared" ref="D190:D195" si="66">SUMIFS($AA$14:$AA$184,$N$14:$N$184,A190)</f>
        <v>0</v>
      </c>
      <c r="E190" s="472">
        <f t="shared" ref="E190:E195" si="67">SUMIFS($AC$14:$AC$184,$N$14:$N$184,A190)</f>
        <v>0</v>
      </c>
      <c r="F190" s="105"/>
      <c r="G190" s="551"/>
      <c r="H190" s="106"/>
      <c r="I190" s="184"/>
      <c r="J190" s="184"/>
      <c r="K190" s="184"/>
      <c r="L190" s="220"/>
      <c r="M190" s="43"/>
      <c r="N190" s="484"/>
      <c r="O190" s="343"/>
      <c r="P190" s="343"/>
      <c r="Q190" s="343"/>
      <c r="R190" s="343"/>
      <c r="S190" s="333"/>
      <c r="T190" s="333"/>
      <c r="U190" s="333"/>
      <c r="V190" s="253"/>
      <c r="W190" s="253"/>
      <c r="X190" s="253"/>
      <c r="Y190" s="253"/>
      <c r="Z190" s="253"/>
      <c r="AA190" s="253"/>
      <c r="AB190" s="253"/>
      <c r="AC190" s="253"/>
      <c r="AD190" s="162"/>
      <c r="AE190" s="358"/>
      <c r="AN190" s="326"/>
    </row>
    <row r="191" spans="1:40" s="3" customFormat="1" ht="16.5" customHeight="1">
      <c r="A191" s="262" t="s">
        <v>281</v>
      </c>
      <c r="B191" s="617" t="s">
        <v>734</v>
      </c>
      <c r="C191" s="616">
        <v>0</v>
      </c>
      <c r="D191" s="568">
        <f t="shared" si="66"/>
        <v>0</v>
      </c>
      <c r="E191" s="472">
        <f t="shared" si="67"/>
        <v>0</v>
      </c>
      <c r="F191" s="105"/>
      <c r="G191" s="551"/>
      <c r="H191" s="468"/>
      <c r="I191" s="469"/>
      <c r="J191" s="470"/>
      <c r="K191" s="470"/>
      <c r="L191" s="470"/>
      <c r="M191" s="43"/>
      <c r="N191" s="484"/>
      <c r="O191" s="343"/>
      <c r="P191" s="343"/>
      <c r="Q191" s="343"/>
      <c r="R191" s="343"/>
      <c r="S191" s="333"/>
      <c r="T191" s="333"/>
      <c r="U191" s="333"/>
      <c r="V191" s="253"/>
      <c r="W191" s="253"/>
      <c r="X191" s="253"/>
      <c r="Y191" s="253"/>
      <c r="Z191" s="253"/>
      <c r="AA191" s="253"/>
      <c r="AB191" s="253"/>
      <c r="AC191" s="253"/>
      <c r="AD191" s="162"/>
      <c r="AE191" s="358"/>
      <c r="AN191" s="326"/>
    </row>
    <row r="192" spans="1:40" s="3" customFormat="1" ht="16.5" customHeight="1">
      <c r="A192" s="262" t="s">
        <v>280</v>
      </c>
      <c r="B192" s="617" t="s">
        <v>735</v>
      </c>
      <c r="C192" s="616">
        <v>0</v>
      </c>
      <c r="D192" s="568">
        <f t="shared" si="66"/>
        <v>0</v>
      </c>
      <c r="E192" s="472">
        <f t="shared" si="67"/>
        <v>0</v>
      </c>
      <c r="F192" s="69"/>
      <c r="G192" s="551"/>
      <c r="H192" s="456"/>
      <c r="I192" s="458"/>
      <c r="J192" s="458"/>
      <c r="K192" s="458"/>
      <c r="L192" s="459"/>
      <c r="M192" s="43"/>
      <c r="N192" s="484"/>
      <c r="O192" s="343"/>
      <c r="P192" s="343"/>
      <c r="Q192" s="343"/>
      <c r="R192" s="343"/>
      <c r="S192" s="333"/>
      <c r="T192" s="333"/>
      <c r="U192" s="333"/>
      <c r="V192" s="253"/>
      <c r="W192" s="253"/>
      <c r="X192" s="253"/>
      <c r="Y192" s="253"/>
      <c r="Z192" s="253"/>
      <c r="AA192" s="253"/>
      <c r="AB192" s="253"/>
      <c r="AC192" s="253"/>
      <c r="AD192" s="162"/>
      <c r="AE192" s="358"/>
      <c r="AN192" s="326"/>
    </row>
    <row r="193" spans="1:40" s="3" customFormat="1" ht="16.5" customHeight="1">
      <c r="A193" s="262" t="s">
        <v>592</v>
      </c>
      <c r="B193" s="618" t="s">
        <v>736</v>
      </c>
      <c r="C193" s="616">
        <v>0</v>
      </c>
      <c r="D193" s="568">
        <f t="shared" si="66"/>
        <v>0</v>
      </c>
      <c r="E193" s="472">
        <f t="shared" si="67"/>
        <v>0</v>
      </c>
      <c r="F193" s="69"/>
      <c r="G193" s="551"/>
      <c r="H193" s="460"/>
      <c r="I193" s="68"/>
      <c r="J193" s="68"/>
      <c r="K193" s="68"/>
      <c r="L193" s="461"/>
      <c r="M193" s="43"/>
      <c r="N193" s="484"/>
      <c r="O193" s="343"/>
      <c r="P193" s="343"/>
      <c r="Q193" s="343"/>
      <c r="R193" s="343"/>
      <c r="S193" s="333"/>
      <c r="T193" s="333"/>
      <c r="U193" s="333"/>
      <c r="V193" s="253"/>
      <c r="W193" s="253"/>
      <c r="X193" s="253"/>
      <c r="Y193" s="253"/>
      <c r="Z193" s="253"/>
      <c r="AA193" s="253"/>
      <c r="AB193" s="253"/>
      <c r="AC193" s="253"/>
      <c r="AD193" s="162"/>
      <c r="AE193" s="358"/>
      <c r="AN193" s="326"/>
    </row>
    <row r="194" spans="1:40" s="3" customFormat="1" ht="16.5" customHeight="1">
      <c r="A194" s="262" t="s">
        <v>732</v>
      </c>
      <c r="B194" s="617" t="s">
        <v>737</v>
      </c>
      <c r="C194" s="616">
        <v>0</v>
      </c>
      <c r="D194" s="568">
        <f t="shared" si="66"/>
        <v>0</v>
      </c>
      <c r="E194" s="472">
        <f t="shared" si="67"/>
        <v>0</v>
      </c>
      <c r="F194" s="69"/>
      <c r="G194" s="551"/>
      <c r="H194" s="460"/>
      <c r="I194" s="68"/>
      <c r="J194" s="68"/>
      <c r="K194" s="68"/>
      <c r="L194" s="461"/>
      <c r="M194" s="43"/>
      <c r="N194" s="484"/>
      <c r="O194" s="343"/>
      <c r="P194" s="343"/>
      <c r="Q194" s="343"/>
      <c r="R194" s="343"/>
      <c r="S194" s="333"/>
      <c r="T194" s="333"/>
      <c r="U194" s="333"/>
      <c r="V194" s="253"/>
      <c r="W194" s="253"/>
      <c r="X194" s="253"/>
      <c r="Y194" s="253"/>
      <c r="Z194" s="253"/>
      <c r="AA194" s="253"/>
      <c r="AB194" s="253"/>
      <c r="AC194" s="253"/>
      <c r="AD194" s="162"/>
      <c r="AE194" s="358"/>
      <c r="AN194" s="326"/>
    </row>
    <row r="195" spans="1:40" s="3" customFormat="1" ht="16.5" customHeight="1">
      <c r="A195" s="262" t="s">
        <v>78</v>
      </c>
      <c r="B195" s="617" t="s">
        <v>738</v>
      </c>
      <c r="C195" s="616">
        <v>0</v>
      </c>
      <c r="D195" s="568">
        <f t="shared" si="66"/>
        <v>0</v>
      </c>
      <c r="E195" s="472">
        <f t="shared" si="67"/>
        <v>0</v>
      </c>
      <c r="F195" s="69"/>
      <c r="G195" s="551"/>
      <c r="H195" s="460"/>
      <c r="I195" s="68"/>
      <c r="J195" s="68"/>
      <c r="K195" s="68"/>
      <c r="L195" s="461"/>
      <c r="M195" s="43"/>
      <c r="N195" s="484"/>
      <c r="O195" s="343"/>
      <c r="P195" s="343"/>
      <c r="Q195" s="343"/>
      <c r="R195" s="343"/>
      <c r="S195" s="333"/>
      <c r="T195" s="333"/>
      <c r="U195" s="333"/>
      <c r="V195" s="253"/>
      <c r="W195" s="253"/>
      <c r="X195" s="253"/>
      <c r="Y195" s="253"/>
      <c r="Z195" s="253"/>
      <c r="AA195" s="253"/>
      <c r="AB195" s="253"/>
      <c r="AC195" s="253"/>
      <c r="AD195" s="162"/>
      <c r="AE195" s="358"/>
      <c r="AN195" s="326"/>
    </row>
    <row r="196" spans="1:40" s="3" customFormat="1" ht="16.5" customHeight="1">
      <c r="A196" s="262"/>
      <c r="B196" s="426" t="s">
        <v>730</v>
      </c>
      <c r="D196" s="181"/>
      <c r="E196" s="330"/>
      <c r="F196" s="69"/>
      <c r="G196" s="551"/>
      <c r="H196" s="460"/>
      <c r="I196" s="68"/>
      <c r="J196" s="68"/>
      <c r="K196" s="68"/>
      <c r="L196" s="461"/>
      <c r="M196" s="43"/>
      <c r="N196" s="484"/>
      <c r="O196" s="343"/>
      <c r="P196" s="343"/>
      <c r="Q196" s="343"/>
      <c r="R196" s="343"/>
      <c r="S196" s="333"/>
      <c r="T196" s="333"/>
      <c r="U196" s="333"/>
      <c r="V196" s="253"/>
      <c r="W196" s="253"/>
      <c r="X196" s="253"/>
      <c r="Y196" s="253"/>
      <c r="Z196" s="253"/>
      <c r="AA196" s="253"/>
      <c r="AB196" s="253"/>
      <c r="AC196" s="253"/>
      <c r="AD196" s="162"/>
      <c r="AE196" s="358"/>
      <c r="AN196" s="326"/>
    </row>
    <row r="197" spans="1:40" s="3" customFormat="1" ht="16.5" customHeight="1">
      <c r="A197" s="262"/>
      <c r="B197" s="716"/>
      <c r="C197" s="473" t="s">
        <v>9</v>
      </c>
      <c r="D197" s="471">
        <f>SUM(AA14:AA184)</f>
        <v>0</v>
      </c>
      <c r="E197" s="472">
        <f>SUM(AC14:AC184)</f>
        <v>0</v>
      </c>
      <c r="F197" s="453"/>
      <c r="G197" s="551"/>
      <c r="H197" s="462"/>
      <c r="I197" s="68"/>
      <c r="J197" s="68"/>
      <c r="K197" s="68"/>
      <c r="L197" s="461"/>
      <c r="M197" s="43"/>
      <c r="N197" s="484"/>
      <c r="O197" s="343"/>
      <c r="P197" s="343"/>
      <c r="Q197" s="343"/>
      <c r="R197" s="343"/>
      <c r="S197" s="333"/>
      <c r="T197" s="333"/>
      <c r="U197" s="333"/>
      <c r="V197" s="253"/>
      <c r="W197" s="253"/>
      <c r="X197" s="253"/>
      <c r="Y197" s="253"/>
      <c r="Z197" s="253"/>
      <c r="AA197" s="253"/>
      <c r="AB197" s="253"/>
      <c r="AC197" s="253"/>
      <c r="AD197" s="162"/>
      <c r="AE197" s="358"/>
      <c r="AN197" s="326"/>
    </row>
    <row r="198" spans="1:40" s="3" customFormat="1" ht="16.5" customHeight="1">
      <c r="A198" s="262"/>
      <c r="B198" s="716"/>
      <c r="C198" s="473" t="s">
        <v>6</v>
      </c>
      <c r="D198" s="471">
        <f>D197*0.23</f>
        <v>0</v>
      </c>
      <c r="E198" s="472">
        <f>E197*0.23</f>
        <v>0</v>
      </c>
      <c r="F198" s="454"/>
      <c r="G198" s="551"/>
      <c r="H198" s="463"/>
      <c r="I198" s="68"/>
      <c r="J198" s="68"/>
      <c r="K198" s="68"/>
      <c r="L198" s="461"/>
      <c r="M198" s="43"/>
      <c r="N198" s="484"/>
      <c r="O198" s="343"/>
      <c r="P198" s="343"/>
      <c r="Q198" s="343"/>
      <c r="R198" s="343"/>
      <c r="S198" s="333"/>
      <c r="T198" s="333"/>
      <c r="U198" s="333"/>
      <c r="V198" s="253"/>
      <c r="W198" s="253"/>
      <c r="X198" s="253"/>
      <c r="Y198" s="253"/>
      <c r="Z198" s="253"/>
      <c r="AA198" s="253"/>
      <c r="AB198" s="253"/>
      <c r="AC198" s="253"/>
      <c r="AD198" s="162"/>
      <c r="AE198" s="358"/>
      <c r="AN198" s="326"/>
    </row>
    <row r="199" spans="1:40" s="3" customFormat="1" ht="16.5" customHeight="1">
      <c r="A199" s="262"/>
      <c r="B199" s="716"/>
      <c r="C199" s="473" t="s">
        <v>7</v>
      </c>
      <c r="D199" s="471">
        <f>D197+D198</f>
        <v>0</v>
      </c>
      <c r="E199" s="472">
        <f>E197+E198</f>
        <v>0</v>
      </c>
      <c r="F199" s="454"/>
      <c r="G199" s="551"/>
      <c r="H199" s="464"/>
      <c r="I199" s="465"/>
      <c r="J199" s="465"/>
      <c r="K199" s="465"/>
      <c r="L199" s="466"/>
      <c r="M199" s="43"/>
      <c r="N199" s="484"/>
      <c r="O199" s="343"/>
      <c r="P199" s="343"/>
      <c r="Q199" s="343"/>
      <c r="R199" s="343"/>
      <c r="S199" s="333"/>
      <c r="T199" s="333"/>
      <c r="U199" s="333"/>
      <c r="V199" s="253"/>
      <c r="W199" s="253"/>
      <c r="X199" s="253"/>
      <c r="Y199" s="253"/>
      <c r="Z199" s="253"/>
      <c r="AA199" s="253"/>
      <c r="AB199" s="253"/>
      <c r="AC199" s="253"/>
      <c r="AD199" s="162"/>
      <c r="AE199" s="358"/>
      <c r="AN199" s="326"/>
    </row>
    <row r="200" spans="1:40" s="19" customFormat="1" ht="18" customHeight="1">
      <c r="A200" s="312"/>
      <c r="B200" s="716"/>
      <c r="D200" s="70"/>
      <c r="E200" s="71"/>
      <c r="F200" s="70"/>
      <c r="G200" s="70"/>
      <c r="H200" s="718" t="s">
        <v>19</v>
      </c>
      <c r="I200" s="718"/>
      <c r="J200" s="718"/>
      <c r="K200" s="718"/>
      <c r="L200" s="718"/>
      <c r="M200" s="43"/>
      <c r="N200" s="484"/>
      <c r="O200" s="343"/>
      <c r="P200" s="343"/>
      <c r="Q200" s="343"/>
      <c r="R200" s="343"/>
      <c r="S200" s="333"/>
      <c r="T200" s="333"/>
      <c r="U200" s="333"/>
      <c r="V200" s="253"/>
      <c r="W200" s="253"/>
      <c r="X200" s="253"/>
      <c r="Y200" s="253"/>
      <c r="Z200" s="253"/>
      <c r="AA200" s="253"/>
      <c r="AB200" s="253"/>
      <c r="AC200" s="253"/>
      <c r="AD200" s="164"/>
      <c r="AE200" s="360"/>
      <c r="AN200" s="328"/>
    </row>
    <row r="201" spans="1:40" s="19" customFormat="1" ht="18" customHeight="1">
      <c r="A201" s="312"/>
      <c r="B201" s="115"/>
      <c r="D201" s="70"/>
      <c r="E201" s="71"/>
      <c r="F201" s="70"/>
      <c r="G201" s="70"/>
      <c r="H201" s="70"/>
      <c r="I201" s="71"/>
      <c r="J201" s="71"/>
      <c r="K201" s="72"/>
      <c r="L201" s="43"/>
      <c r="M201" s="43"/>
      <c r="N201" s="484"/>
      <c r="O201" s="343"/>
      <c r="P201" s="343"/>
      <c r="Q201" s="343"/>
      <c r="R201" s="343"/>
      <c r="S201" s="333"/>
      <c r="T201" s="333"/>
      <c r="U201" s="333"/>
      <c r="V201" s="253"/>
      <c r="W201" s="253"/>
      <c r="X201" s="253"/>
      <c r="Y201" s="253"/>
      <c r="Z201" s="253"/>
      <c r="AA201" s="253"/>
      <c r="AB201" s="253"/>
      <c r="AC201" s="253"/>
      <c r="AD201" s="164"/>
      <c r="AE201" s="360"/>
      <c r="AN201" s="328"/>
    </row>
    <row r="202" spans="1:40" s="1" customFormat="1" ht="33" customHeight="1">
      <c r="A202" s="262"/>
      <c r="B202" s="391" t="s">
        <v>31</v>
      </c>
      <c r="C202" s="73"/>
      <c r="D202" s="73"/>
      <c r="E202" s="74"/>
      <c r="F202" s="73"/>
      <c r="G202" s="73"/>
      <c r="H202" s="73"/>
      <c r="I202" s="73"/>
      <c r="J202" s="74"/>
      <c r="K202" s="74"/>
      <c r="L202" s="43"/>
      <c r="M202" s="43"/>
      <c r="N202" s="484"/>
      <c r="O202" s="343"/>
      <c r="P202" s="343"/>
      <c r="Q202" s="343"/>
      <c r="R202" s="343"/>
      <c r="S202" s="333"/>
      <c r="T202" s="333"/>
      <c r="U202" s="333"/>
      <c r="V202" s="253"/>
      <c r="W202" s="253"/>
      <c r="X202" s="253"/>
      <c r="Y202" s="253"/>
      <c r="Z202" s="253"/>
      <c r="AA202" s="253"/>
      <c r="AB202" s="253"/>
      <c r="AC202" s="253"/>
      <c r="AD202" s="165"/>
      <c r="AE202" s="361"/>
      <c r="AN202" s="329"/>
    </row>
    <row r="203" spans="1:40" s="3" customFormat="1" ht="17.45" customHeight="1">
      <c r="B203" s="625" t="s">
        <v>18</v>
      </c>
      <c r="C203" s="626"/>
      <c r="D203" s="627"/>
      <c r="E203" s="627"/>
      <c r="F203" s="627"/>
      <c r="G203" s="627"/>
      <c r="H203" s="628"/>
      <c r="I203" s="628"/>
      <c r="J203" s="628"/>
      <c r="K203" s="628"/>
      <c r="L203" s="626"/>
      <c r="N203" s="488"/>
    </row>
    <row r="204" spans="1:40" s="3" customFormat="1" ht="13.9" customHeight="1">
      <c r="B204" s="629" t="s">
        <v>22</v>
      </c>
      <c r="C204" s="630"/>
      <c r="D204" s="631"/>
      <c r="E204" s="632"/>
      <c r="F204" s="632"/>
      <c r="G204" s="632"/>
      <c r="H204" s="632"/>
      <c r="I204" s="632"/>
      <c r="J204" s="632"/>
      <c r="K204" s="632"/>
      <c r="L204" s="630"/>
      <c r="N204" s="488"/>
    </row>
    <row r="205" spans="1:40" s="3" customFormat="1" ht="13.9" customHeight="1">
      <c r="B205" s="623" t="s">
        <v>23</v>
      </c>
      <c r="D205" s="194"/>
      <c r="E205" s="76"/>
      <c r="F205" s="76"/>
      <c r="G205" s="76"/>
      <c r="H205" s="76"/>
      <c r="I205" s="76"/>
      <c r="J205" s="76"/>
      <c r="K205" s="76"/>
      <c r="N205" s="488"/>
    </row>
    <row r="206" spans="1:40" s="3" customFormat="1" ht="13.9" customHeight="1">
      <c r="B206" s="624" t="s">
        <v>24</v>
      </c>
      <c r="D206" s="195"/>
      <c r="E206" s="76"/>
      <c r="F206" s="76"/>
      <c r="G206" s="76"/>
      <c r="H206" s="76"/>
      <c r="I206" s="76"/>
      <c r="J206" s="76"/>
      <c r="K206" s="76"/>
      <c r="N206" s="488"/>
    </row>
    <row r="207" spans="1:40" ht="13.9" customHeight="1">
      <c r="A207" s="4"/>
      <c r="B207" s="623" t="s">
        <v>25</v>
      </c>
      <c r="D207" s="195"/>
      <c r="E207" s="76"/>
      <c r="F207" s="76"/>
      <c r="G207" s="76"/>
      <c r="H207" s="76"/>
      <c r="I207" s="76"/>
      <c r="J207" s="76"/>
      <c r="K207" s="76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N207" s="4"/>
    </row>
    <row r="208" spans="1:40" ht="13.9" customHeight="1">
      <c r="A208" s="4"/>
      <c r="B208" s="623" t="s">
        <v>26</v>
      </c>
      <c r="D208" s="196"/>
      <c r="E208" s="76"/>
      <c r="F208" s="76"/>
      <c r="G208" s="76"/>
      <c r="H208" s="76"/>
      <c r="I208" s="76"/>
      <c r="J208" s="76"/>
      <c r="K208" s="76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N208" s="4"/>
    </row>
    <row r="209" spans="1:40" ht="13.9" customHeight="1">
      <c r="A209" s="4"/>
      <c r="B209" s="623" t="s">
        <v>29</v>
      </c>
      <c r="D209" s="196"/>
      <c r="E209" s="78"/>
      <c r="F209" s="76"/>
      <c r="G209" s="76"/>
      <c r="H209" s="76"/>
      <c r="I209" s="76"/>
      <c r="J209" s="76"/>
      <c r="K209" s="76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N209" s="4"/>
    </row>
    <row r="210" spans="1:40" s="2" customFormat="1" ht="13.9" customHeight="1">
      <c r="B210" s="623" t="s">
        <v>28</v>
      </c>
      <c r="D210" s="195"/>
      <c r="E210" s="78"/>
      <c r="F210" s="76"/>
      <c r="G210" s="76"/>
      <c r="H210" s="79"/>
      <c r="I210" s="79"/>
      <c r="J210" s="79"/>
      <c r="K210" s="79"/>
      <c r="N210" s="490"/>
    </row>
    <row r="211" spans="1:40" s="10" customFormat="1" ht="13.9" customHeight="1">
      <c r="B211" s="623" t="s">
        <v>27</v>
      </c>
      <c r="D211" s="195"/>
      <c r="E211" s="78"/>
      <c r="F211" s="76"/>
      <c r="G211" s="76"/>
      <c r="H211" s="195"/>
      <c r="I211" s="197"/>
      <c r="J211" s="197"/>
      <c r="K211" s="197"/>
      <c r="N211" s="491"/>
    </row>
    <row r="212" spans="1:40" ht="19.899999999999999" customHeight="1">
      <c r="A212" s="4"/>
      <c r="C212" s="76"/>
      <c r="D212" s="76"/>
      <c r="E212" s="78"/>
      <c r="F212" s="76"/>
      <c r="G212" s="76"/>
      <c r="H212" s="76"/>
      <c r="I212" s="76"/>
      <c r="J212" s="76"/>
      <c r="K212" s="76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N212" s="4"/>
    </row>
    <row r="213" spans="1:40">
      <c r="B213" s="714" t="s">
        <v>20</v>
      </c>
      <c r="C213" s="714"/>
      <c r="D213" s="714"/>
      <c r="E213" s="714"/>
      <c r="F213" s="714"/>
      <c r="G213" s="714"/>
      <c r="H213" s="714"/>
      <c r="I213" s="714"/>
      <c r="J213" s="714"/>
      <c r="K213" s="714"/>
      <c r="L213" s="714"/>
      <c r="M213" s="80"/>
      <c r="N213" s="492"/>
      <c r="O213" s="353"/>
      <c r="P213" s="353"/>
      <c r="Q213" s="353"/>
      <c r="R213" s="353"/>
      <c r="S213" s="353"/>
      <c r="T213" s="353"/>
      <c r="U213" s="353"/>
    </row>
    <row r="214" spans="1:40">
      <c r="B214" s="715" t="s">
        <v>21</v>
      </c>
      <c r="C214" s="715"/>
      <c r="D214" s="715"/>
      <c r="E214" s="715"/>
      <c r="F214" s="715"/>
      <c r="G214" s="715"/>
      <c r="H214" s="715"/>
      <c r="I214" s="715"/>
      <c r="J214" s="715"/>
      <c r="K214" s="715"/>
      <c r="L214" s="715"/>
      <c r="M214" s="80"/>
      <c r="N214" s="492"/>
      <c r="O214" s="353"/>
      <c r="P214" s="353"/>
      <c r="Q214" s="353"/>
      <c r="R214" s="353"/>
      <c r="S214" s="353"/>
      <c r="T214" s="353"/>
      <c r="U214" s="353"/>
    </row>
    <row r="215" spans="1:40" ht="13.15" customHeight="1">
      <c r="B215" s="39"/>
      <c r="C215" s="39"/>
      <c r="D215" s="40"/>
      <c r="E215" s="128"/>
      <c r="F215" s="40"/>
      <c r="G215" s="40"/>
      <c r="H215" s="39"/>
      <c r="I215" s="39"/>
      <c r="J215" s="39"/>
      <c r="K215" s="39"/>
      <c r="L215" s="39"/>
      <c r="M215" s="39"/>
      <c r="N215" s="478"/>
      <c r="O215" s="333"/>
      <c r="P215" s="333"/>
      <c r="Q215" s="333"/>
      <c r="R215" s="333"/>
      <c r="S215" s="333"/>
      <c r="T215" s="333"/>
      <c r="U215" s="333"/>
    </row>
    <row r="216" spans="1:40" ht="62.25" customHeight="1">
      <c r="B216" s="713" t="s">
        <v>775</v>
      </c>
      <c r="C216" s="713"/>
      <c r="D216" s="713"/>
      <c r="E216" s="713"/>
      <c r="F216" s="713"/>
      <c r="G216" s="713"/>
      <c r="H216" s="713"/>
      <c r="I216" s="713"/>
      <c r="J216" s="713"/>
      <c r="K216" s="713"/>
      <c r="L216" s="713"/>
      <c r="M216" s="123"/>
      <c r="N216" s="493"/>
      <c r="O216" s="354"/>
      <c r="P216" s="354"/>
      <c r="Q216" s="354"/>
      <c r="R216" s="354"/>
      <c r="S216" s="354"/>
      <c r="T216" s="354"/>
      <c r="U216" s="354"/>
    </row>
    <row r="217" spans="1:40" ht="6" customHeight="1"/>
  </sheetData>
  <sheetProtection password="EF50" sheet="1" objects="1" scenarios="1"/>
  <mergeCells count="142">
    <mergeCell ref="S168:U168"/>
    <mergeCell ref="S166:U166"/>
    <mergeCell ref="S167:U167"/>
    <mergeCell ref="S154:U154"/>
    <mergeCell ref="S155:U155"/>
    <mergeCell ref="S156:U156"/>
    <mergeCell ref="D160:D161"/>
    <mergeCell ref="S138:U138"/>
    <mergeCell ref="S140:U140"/>
    <mergeCell ref="S139:U139"/>
    <mergeCell ref="S165:U165"/>
    <mergeCell ref="S148:U148"/>
    <mergeCell ref="S149:U149"/>
    <mergeCell ref="S151:U151"/>
    <mergeCell ref="S152:U152"/>
    <mergeCell ref="S153:U153"/>
    <mergeCell ref="S162:U162"/>
    <mergeCell ref="S163:U163"/>
    <mergeCell ref="S114:U114"/>
    <mergeCell ref="S107:U107"/>
    <mergeCell ref="S108:U108"/>
    <mergeCell ref="S109:U109"/>
    <mergeCell ref="S135:U135"/>
    <mergeCell ref="S137:U137"/>
    <mergeCell ref="AP13:BB13"/>
    <mergeCell ref="AF14:AL15"/>
    <mergeCell ref="S136:U136"/>
    <mergeCell ref="S18:U19"/>
    <mergeCell ref="B3:D3"/>
    <mergeCell ref="AF5:AL5"/>
    <mergeCell ref="F104:L104"/>
    <mergeCell ref="F89:L89"/>
    <mergeCell ref="F102:L102"/>
    <mergeCell ref="S56:U56"/>
    <mergeCell ref="S60:U60"/>
    <mergeCell ref="F85:L85"/>
    <mergeCell ref="F86:L86"/>
    <mergeCell ref="F87:L87"/>
    <mergeCell ref="F88:L88"/>
    <mergeCell ref="D35:D36"/>
    <mergeCell ref="AF6:AL6"/>
    <mergeCell ref="AF13:AL13"/>
    <mergeCell ref="Q7:Q12"/>
    <mergeCell ref="R7:R12"/>
    <mergeCell ref="S7:S12"/>
    <mergeCell ref="T7:T12"/>
    <mergeCell ref="U7:U12"/>
    <mergeCell ref="B16:D17"/>
    <mergeCell ref="B58:D58"/>
    <mergeCell ref="F82:L82"/>
    <mergeCell ref="B216:L216"/>
    <mergeCell ref="B213:L213"/>
    <mergeCell ref="B214:L214"/>
    <mergeCell ref="B197:B198"/>
    <mergeCell ref="F93:L93"/>
    <mergeCell ref="F98:L98"/>
    <mergeCell ref="D120:D121"/>
    <mergeCell ref="B99:E99"/>
    <mergeCell ref="D146:D147"/>
    <mergeCell ref="F103:L103"/>
    <mergeCell ref="B199:B200"/>
    <mergeCell ref="B94:E94"/>
    <mergeCell ref="F101:L101"/>
    <mergeCell ref="F107:L107"/>
    <mergeCell ref="F108:L108"/>
    <mergeCell ref="F109:L109"/>
    <mergeCell ref="H200:L200"/>
    <mergeCell ref="D174:D175"/>
    <mergeCell ref="B119:C120"/>
    <mergeCell ref="B141:C141"/>
    <mergeCell ref="S184:U184"/>
    <mergeCell ref="S176:U176"/>
    <mergeCell ref="S177:U177"/>
    <mergeCell ref="S178:U178"/>
    <mergeCell ref="S179:U179"/>
    <mergeCell ref="AN6:AN7"/>
    <mergeCell ref="S115:U115"/>
    <mergeCell ref="S116:U116"/>
    <mergeCell ref="S117:U117"/>
    <mergeCell ref="S126:U126"/>
    <mergeCell ref="AN8:AN9"/>
    <mergeCell ref="S52:U52"/>
    <mergeCell ref="S53:U53"/>
    <mergeCell ref="S54:U54"/>
    <mergeCell ref="S55:U55"/>
    <mergeCell ref="P6:U6"/>
    <mergeCell ref="P13:R13"/>
    <mergeCell ref="S57:U57"/>
    <mergeCell ref="S61:U61"/>
    <mergeCell ref="S59:U59"/>
    <mergeCell ref="S118:U118"/>
    <mergeCell ref="S133:U133"/>
    <mergeCell ref="S129:U129"/>
    <mergeCell ref="S130:U130"/>
    <mergeCell ref="S182:U182"/>
    <mergeCell ref="G9:G12"/>
    <mergeCell ref="D19:D20"/>
    <mergeCell ref="Q14:Q15"/>
    <mergeCell ref="B7:D7"/>
    <mergeCell ref="S183:U183"/>
    <mergeCell ref="D30:D31"/>
    <mergeCell ref="C8:D8"/>
    <mergeCell ref="B25:C25"/>
    <mergeCell ref="D12:D13"/>
    <mergeCell ref="F7:G8"/>
    <mergeCell ref="H7:J8"/>
    <mergeCell ref="K7:L8"/>
    <mergeCell ref="H9:H12"/>
    <mergeCell ref="F9:F12"/>
    <mergeCell ref="L9:L12"/>
    <mergeCell ref="R14:R15"/>
    <mergeCell ref="P7:P12"/>
    <mergeCell ref="P14:P15"/>
    <mergeCell ref="I9:I12"/>
    <mergeCell ref="J9:J12"/>
    <mergeCell ref="N6:N12"/>
    <mergeCell ref="F60:L60"/>
    <mergeCell ref="D65:D66"/>
    <mergeCell ref="S180:U180"/>
    <mergeCell ref="S181:U181"/>
    <mergeCell ref="E19:E20"/>
    <mergeCell ref="D111:D112"/>
    <mergeCell ref="S128:U128"/>
    <mergeCell ref="C9:D9"/>
    <mergeCell ref="B27:C27"/>
    <mergeCell ref="K9:K12"/>
    <mergeCell ref="D50:D51"/>
    <mergeCell ref="F61:L61"/>
    <mergeCell ref="F84:L84"/>
    <mergeCell ref="F59:L59"/>
    <mergeCell ref="S131:U131"/>
    <mergeCell ref="S132:U132"/>
    <mergeCell ref="S123:U123"/>
    <mergeCell ref="S127:U127"/>
    <mergeCell ref="S125:U125"/>
    <mergeCell ref="S122:U122"/>
    <mergeCell ref="S113:U113"/>
    <mergeCell ref="S134:U134"/>
    <mergeCell ref="S124:U124"/>
    <mergeCell ref="S169:U169"/>
    <mergeCell ref="S170:U170"/>
    <mergeCell ref="S171:U171"/>
  </mergeCells>
  <conditionalFormatting sqref="AE14">
    <cfRule type="expression" dxfId="6" priority="2" stopIfTrue="1">
      <formula>SUM(F14:L14)&lt;&gt;AE14</formula>
    </cfRule>
  </conditionalFormatting>
  <conditionalFormatting sqref="AE15">
    <cfRule type="expression" dxfId="5" priority="1" stopIfTrue="1">
      <formula>SUM(F15:L15)&lt;&gt;AE15</formula>
    </cfRule>
  </conditionalFormatting>
  <dataValidations disablePrompts="1" count="2">
    <dataValidation type="list" allowBlank="1" showInputMessage="1" showErrorMessage="1" sqref="C9">
      <formula1>"bez podbicia,mata antykondensacyjna,mata wygłuszająca"</formula1>
    </dataValidation>
    <dataValidation type="list" allowBlank="1" showInputMessage="1" showErrorMessage="1" sqref="C8:D8">
      <formula1>"płaski,mikrofala wąska,mikrofala szeroka,trapez podwójny,wzmocnienie podwójne,moleta"</formula1>
    </dataValidation>
  </dataValidations>
  <printOptions horizontalCentered="1"/>
  <pageMargins left="0.31496062992125984" right="0.31496062992125984" top="0.55118110236220474" bottom="0.55118110236220474" header="0" footer="0"/>
  <pageSetup paperSize="9" scale="62" fitToHeight="0" orientation="portrait" r:id="rId1"/>
  <headerFooter alignWithMargins="0">
    <oddFooter>&amp;F</oddFooter>
  </headerFooter>
  <rowBreaks count="3" manualBreakCount="3">
    <brk id="62" min="1" max="11" man="1"/>
    <brk id="142" min="1" max="11" man="1"/>
    <brk id="186" min="1" max="11" man="1"/>
  </rowBreaks>
  <colBreaks count="1" manualBreakCount="1">
    <brk id="11" max="215" man="1"/>
  </colBreaks>
  <ignoredErrors>
    <ignoredError sqref="D45 D32 D14:D15 D69 D72 D77 D21:D24 D183 D166 D154:D155 D127:D130 D113:D118" twoDigitTextYear="1"/>
    <ignoredError sqref="W21:X24 V38:X47 V52:Y57 X151:X171 V75:Y78 V96:X97 V91:Y92 X3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IU65536"/>
  <sheetViews>
    <sheetView showGridLines="0" zoomScaleNormal="100" workbookViewId="0">
      <selection activeCell="J110" sqref="J110"/>
    </sheetView>
  </sheetViews>
  <sheetFormatPr defaultColWidth="0" defaultRowHeight="12.75" zeroHeight="1"/>
  <cols>
    <col min="1" max="1" width="4.7109375" style="508" customWidth="1"/>
    <col min="2" max="2" width="12.140625" style="206" customWidth="1"/>
    <col min="3" max="3" width="11.7109375" style="206" customWidth="1"/>
    <col min="4" max="4" width="15.5703125" style="206" customWidth="1"/>
    <col min="5" max="5" width="13.7109375" style="206" customWidth="1"/>
    <col min="6" max="6" width="2.7109375" style="206" customWidth="1"/>
    <col min="7" max="7" width="6.5703125" style="206" customWidth="1"/>
    <col min="8" max="8" width="4.7109375" style="512" customWidth="1"/>
    <col min="9" max="9" width="12" style="206" customWidth="1"/>
    <col min="10" max="10" width="11.7109375" style="206" customWidth="1"/>
    <col min="11" max="11" width="15.5703125" style="206" customWidth="1"/>
    <col min="12" max="12" width="13.7109375" style="206" customWidth="1"/>
    <col min="13" max="13" width="2" style="206" customWidth="1"/>
    <col min="14" max="14" width="2.7109375" style="206" hidden="1" customWidth="1"/>
    <col min="15" max="17" width="8.85546875" style="207" hidden="1" customWidth="1"/>
    <col min="18" max="18" width="8.85546875" style="206" hidden="1" customWidth="1"/>
    <col min="19" max="19" width="31.7109375" style="206" hidden="1" customWidth="1"/>
    <col min="20" max="20" width="8.85546875" style="206" hidden="1" customWidth="1"/>
    <col min="21" max="21" width="17.5703125" style="206" hidden="1" customWidth="1"/>
    <col min="22" max="24" width="8.85546875" style="206" hidden="1" customWidth="1"/>
    <col min="25" max="25" width="22.7109375" style="206" hidden="1" customWidth="1"/>
    <col min="26" max="26" width="8.85546875" style="206" hidden="1" customWidth="1"/>
    <col min="27" max="255" width="2.140625" style="206" hidden="1" customWidth="1"/>
    <col min="256" max="16384" width="0" style="206" hidden="1"/>
  </cols>
  <sheetData>
    <row r="1" spans="1:17" s="200" customFormat="1" ht="24.75" customHeight="1">
      <c r="A1" s="508"/>
      <c r="B1" s="33" t="s">
        <v>716</v>
      </c>
      <c r="H1" s="509"/>
      <c r="J1" s="505" t="str">
        <f ca="1">'Dane podst. zamówienia'!D11</f>
        <v>2026-04-15</v>
      </c>
      <c r="L1" s="137" t="s">
        <v>749</v>
      </c>
      <c r="O1" s="201"/>
      <c r="P1" s="201"/>
      <c r="Q1" s="201"/>
    </row>
    <row r="2" spans="1:17" ht="23.45" customHeight="1">
      <c r="B2" s="202" t="s">
        <v>307</v>
      </c>
      <c r="C2" s="203"/>
      <c r="D2" s="228">
        <f>'Dane podst. zamówienia'!D3</f>
        <v>0</v>
      </c>
      <c r="E2" s="203"/>
      <c r="F2" s="203"/>
      <c r="H2" s="513"/>
      <c r="I2" s="204"/>
      <c r="J2" s="205"/>
      <c r="K2" s="205"/>
      <c r="L2" s="205"/>
    </row>
    <row r="3" spans="1:17" ht="19.149999999999999" customHeight="1">
      <c r="B3" s="232" t="str">
        <f>'ZAMÓWIENIE | WYCENA'!C14</f>
        <v>3341-501-_-RPP000</v>
      </c>
      <c r="C3" s="232"/>
      <c r="D3" s="232"/>
      <c r="E3" s="506" t="s">
        <v>717</v>
      </c>
      <c r="F3" s="208"/>
      <c r="G3" s="208"/>
      <c r="I3" s="232" t="str">
        <f>'ZAMÓWIENIE | WYCENA'!C15</f>
        <v>3341-292-_-RPP000</v>
      </c>
      <c r="J3" s="232"/>
      <c r="K3" s="232"/>
      <c r="L3" s="506" t="s">
        <v>718</v>
      </c>
    </row>
    <row r="4" spans="1:17" ht="22.15" customHeight="1">
      <c r="A4" s="509"/>
      <c r="B4" s="209"/>
      <c r="D4" s="210" t="s">
        <v>73</v>
      </c>
      <c r="E4" s="507">
        <f>ROUND(SUM(E$6:E$99),3)</f>
        <v>0</v>
      </c>
      <c r="G4" s="211"/>
      <c r="I4" s="209"/>
      <c r="K4" s="210" t="s">
        <v>73</v>
      </c>
      <c r="L4" s="507">
        <f>ROUND(SUM(L$6:L$99),3)</f>
        <v>0</v>
      </c>
      <c r="N4" s="211"/>
    </row>
    <row r="5" spans="1:17" ht="45.6" customHeight="1">
      <c r="A5" s="525" t="s">
        <v>97</v>
      </c>
      <c r="B5" s="230" t="s">
        <v>309</v>
      </c>
      <c r="C5" s="230" t="s">
        <v>310</v>
      </c>
      <c r="D5" s="231" t="s">
        <v>719</v>
      </c>
      <c r="E5" s="229" t="s">
        <v>308</v>
      </c>
      <c r="F5" s="212"/>
      <c r="G5" s="211"/>
      <c r="H5" s="525" t="s">
        <v>97</v>
      </c>
      <c r="I5" s="230" t="s">
        <v>309</v>
      </c>
      <c r="J5" s="230" t="s">
        <v>310</v>
      </c>
      <c r="K5" s="231" t="s">
        <v>719</v>
      </c>
      <c r="L5" s="229" t="s">
        <v>308</v>
      </c>
      <c r="M5" s="212"/>
      <c r="N5" s="211"/>
      <c r="O5" s="207" t="s">
        <v>65</v>
      </c>
      <c r="P5" s="207" t="s">
        <v>66</v>
      </c>
      <c r="Q5" s="207" t="s">
        <v>74</v>
      </c>
    </row>
    <row r="6" spans="1:17" ht="15" customHeight="1">
      <c r="A6" s="510">
        <v>1</v>
      </c>
      <c r="B6" s="235"/>
      <c r="C6" s="236"/>
      <c r="D6" s="233"/>
      <c r="E6" s="214">
        <f t="shared" ref="E6:E37" si="0">ROUND(B6/1000*C6*E$100,3)</f>
        <v>0</v>
      </c>
      <c r="F6" s="745" t="str">
        <f>IF(P6=0," Uzupełnij linia po lini, bez przerw (pustych wierszy)",IF(Q6=0," Uzupełnij dla każdej lini: zagięcie Tak/Nie",""))</f>
        <v/>
      </c>
      <c r="G6" s="211"/>
      <c r="H6" s="514">
        <v>1</v>
      </c>
      <c r="I6" s="235"/>
      <c r="J6" s="236"/>
      <c r="K6" s="233"/>
      <c r="L6" s="214">
        <f t="shared" ref="L6:L37" si="1">ROUND(I6/1000*J6*L$100,3)</f>
        <v>0</v>
      </c>
      <c r="M6" s="745" t="str">
        <f>IF(P7=0," Uzupełnij linia po lini, bez przerw (pustych wierszy)",IF(Q7=0," Uzupełnij dla każdej lini: zagięcie Tak/Nie",""))</f>
        <v/>
      </c>
      <c r="N6" s="211"/>
      <c r="O6" s="207">
        <f>IF('ZAMÓWIENIE | WYCENA'!E14=E4,1,0)</f>
        <v>1</v>
      </c>
      <c r="P6" s="207">
        <f>IF(B$100=C$100,1,0)</f>
        <v>1</v>
      </c>
      <c r="Q6" s="207">
        <f>IF(D100&gt;0,0,1)</f>
        <v>1</v>
      </c>
    </row>
    <row r="7" spans="1:17" ht="15" customHeight="1">
      <c r="A7" s="510">
        <v>2</v>
      </c>
      <c r="B7" s="237"/>
      <c r="C7" s="238"/>
      <c r="D7" s="234"/>
      <c r="E7" s="215">
        <f t="shared" si="0"/>
        <v>0</v>
      </c>
      <c r="F7" s="745"/>
      <c r="G7" s="211"/>
      <c r="H7" s="514">
        <v>2</v>
      </c>
      <c r="I7" s="237"/>
      <c r="J7" s="238"/>
      <c r="K7" s="234"/>
      <c r="L7" s="215">
        <f t="shared" si="1"/>
        <v>0</v>
      </c>
      <c r="M7" s="745"/>
      <c r="N7" s="211"/>
      <c r="O7" s="207">
        <f>IF(L4='ZAMÓWIENIE | WYCENA'!E15,1,0)</f>
        <v>1</v>
      </c>
      <c r="P7" s="207">
        <f>IF(I$100=J$100,1,0)</f>
        <v>1</v>
      </c>
      <c r="Q7" s="207">
        <f>IF(K100&gt;0,0,1)</f>
        <v>1</v>
      </c>
    </row>
    <row r="8" spans="1:17" ht="15" customHeight="1">
      <c r="A8" s="510">
        <v>3</v>
      </c>
      <c r="B8" s="237"/>
      <c r="C8" s="238"/>
      <c r="D8" s="234"/>
      <c r="E8" s="215">
        <f t="shared" si="0"/>
        <v>0</v>
      </c>
      <c r="F8" s="745"/>
      <c r="G8" s="211"/>
      <c r="H8" s="514">
        <v>3</v>
      </c>
      <c r="I8" s="237"/>
      <c r="J8" s="238"/>
      <c r="K8" s="234"/>
      <c r="L8" s="215">
        <f t="shared" si="1"/>
        <v>0</v>
      </c>
      <c r="M8" s="745"/>
      <c r="N8" s="211"/>
    </row>
    <row r="9" spans="1:17" ht="15" customHeight="1">
      <c r="A9" s="510">
        <v>4</v>
      </c>
      <c r="B9" s="237"/>
      <c r="C9" s="238"/>
      <c r="D9" s="234"/>
      <c r="E9" s="215">
        <f t="shared" si="0"/>
        <v>0</v>
      </c>
      <c r="F9" s="745"/>
      <c r="G9" s="211"/>
      <c r="H9" s="514">
        <v>4</v>
      </c>
      <c r="I9" s="237"/>
      <c r="J9" s="238"/>
      <c r="K9" s="234"/>
      <c r="L9" s="215">
        <f t="shared" si="1"/>
        <v>0</v>
      </c>
      <c r="M9" s="745"/>
      <c r="N9" s="211"/>
    </row>
    <row r="10" spans="1:17" ht="15" customHeight="1">
      <c r="A10" s="510">
        <v>5</v>
      </c>
      <c r="B10" s="239"/>
      <c r="C10" s="240"/>
      <c r="D10" s="241"/>
      <c r="E10" s="215">
        <f t="shared" si="0"/>
        <v>0</v>
      </c>
      <c r="F10" s="745"/>
      <c r="G10" s="211"/>
      <c r="H10" s="514">
        <v>5</v>
      </c>
      <c r="I10" s="237"/>
      <c r="J10" s="238"/>
      <c r="K10" s="234"/>
      <c r="L10" s="215">
        <f t="shared" si="1"/>
        <v>0</v>
      </c>
      <c r="M10" s="745"/>
      <c r="N10" s="211"/>
    </row>
    <row r="11" spans="1:17" ht="15" customHeight="1">
      <c r="A11" s="510">
        <v>6</v>
      </c>
      <c r="B11" s="239"/>
      <c r="C11" s="240"/>
      <c r="D11" s="241"/>
      <c r="E11" s="215">
        <f t="shared" si="0"/>
        <v>0</v>
      </c>
      <c r="F11" s="745"/>
      <c r="G11" s="211"/>
      <c r="H11" s="514">
        <v>6</v>
      </c>
      <c r="I11" s="237"/>
      <c r="J11" s="238"/>
      <c r="K11" s="234"/>
      <c r="L11" s="215">
        <f t="shared" si="1"/>
        <v>0</v>
      </c>
      <c r="M11" s="745"/>
      <c r="N11" s="211"/>
    </row>
    <row r="12" spans="1:17" ht="15" customHeight="1">
      <c r="A12" s="510">
        <v>7</v>
      </c>
      <c r="B12" s="239"/>
      <c r="C12" s="240"/>
      <c r="D12" s="241"/>
      <c r="E12" s="215">
        <f t="shared" si="0"/>
        <v>0</v>
      </c>
      <c r="F12" s="745"/>
      <c r="G12" s="211"/>
      <c r="H12" s="514">
        <v>7</v>
      </c>
      <c r="I12" s="237"/>
      <c r="J12" s="238"/>
      <c r="K12" s="234"/>
      <c r="L12" s="215">
        <f t="shared" si="1"/>
        <v>0</v>
      </c>
      <c r="M12" s="745"/>
      <c r="N12" s="211"/>
    </row>
    <row r="13" spans="1:17" ht="15" customHeight="1">
      <c r="A13" s="510">
        <v>8</v>
      </c>
      <c r="B13" s="239"/>
      <c r="C13" s="240"/>
      <c r="D13" s="241"/>
      <c r="E13" s="215">
        <f t="shared" si="0"/>
        <v>0</v>
      </c>
      <c r="F13" s="745"/>
      <c r="G13" s="211"/>
      <c r="H13" s="514">
        <v>8</v>
      </c>
      <c r="I13" s="237"/>
      <c r="J13" s="238"/>
      <c r="K13" s="234"/>
      <c r="L13" s="215">
        <f t="shared" si="1"/>
        <v>0</v>
      </c>
      <c r="M13" s="745"/>
      <c r="N13" s="211"/>
    </row>
    <row r="14" spans="1:17" ht="15" customHeight="1">
      <c r="A14" s="510">
        <v>9</v>
      </c>
      <c r="B14" s="239"/>
      <c r="C14" s="240"/>
      <c r="D14" s="241"/>
      <c r="E14" s="215">
        <f t="shared" si="0"/>
        <v>0</v>
      </c>
      <c r="F14" s="745"/>
      <c r="G14" s="211"/>
      <c r="H14" s="514">
        <v>9</v>
      </c>
      <c r="I14" s="237"/>
      <c r="J14" s="238"/>
      <c r="K14" s="234"/>
      <c r="L14" s="215">
        <f t="shared" si="1"/>
        <v>0</v>
      </c>
      <c r="M14" s="745"/>
      <c r="N14" s="211"/>
    </row>
    <row r="15" spans="1:17" ht="15" customHeight="1">
      <c r="A15" s="510">
        <v>10</v>
      </c>
      <c r="B15" s="239"/>
      <c r="C15" s="240"/>
      <c r="D15" s="241"/>
      <c r="E15" s="215">
        <f t="shared" si="0"/>
        <v>0</v>
      </c>
      <c r="F15" s="745"/>
      <c r="G15" s="211"/>
      <c r="H15" s="514">
        <v>10</v>
      </c>
      <c r="I15" s="237"/>
      <c r="J15" s="238"/>
      <c r="K15" s="234"/>
      <c r="L15" s="215">
        <f t="shared" si="1"/>
        <v>0</v>
      </c>
      <c r="M15" s="745"/>
      <c r="N15" s="211"/>
    </row>
    <row r="16" spans="1:17" ht="15" customHeight="1">
      <c r="A16" s="510">
        <v>11</v>
      </c>
      <c r="B16" s="239"/>
      <c r="C16" s="240"/>
      <c r="D16" s="241"/>
      <c r="E16" s="215">
        <f t="shared" si="0"/>
        <v>0</v>
      </c>
      <c r="F16" s="745"/>
      <c r="G16" s="211"/>
      <c r="H16" s="514">
        <v>11</v>
      </c>
      <c r="I16" s="237"/>
      <c r="J16" s="238"/>
      <c r="K16" s="234"/>
      <c r="L16" s="215">
        <f t="shared" si="1"/>
        <v>0</v>
      </c>
      <c r="M16" s="745"/>
      <c r="N16" s="211"/>
    </row>
    <row r="17" spans="1:14" ht="15" customHeight="1">
      <c r="A17" s="510">
        <v>12</v>
      </c>
      <c r="B17" s="239"/>
      <c r="C17" s="240"/>
      <c r="D17" s="241"/>
      <c r="E17" s="216">
        <f t="shared" si="0"/>
        <v>0</v>
      </c>
      <c r="F17" s="745"/>
      <c r="G17" s="211"/>
      <c r="H17" s="514">
        <v>12</v>
      </c>
      <c r="I17" s="237"/>
      <c r="J17" s="238"/>
      <c r="K17" s="234"/>
      <c r="L17" s="216">
        <f t="shared" si="1"/>
        <v>0</v>
      </c>
      <c r="M17" s="745"/>
      <c r="N17" s="211"/>
    </row>
    <row r="18" spans="1:14" ht="15" customHeight="1">
      <c r="A18" s="510">
        <v>13</v>
      </c>
      <c r="B18" s="239"/>
      <c r="C18" s="240"/>
      <c r="D18" s="241"/>
      <c r="E18" s="216">
        <f t="shared" si="0"/>
        <v>0</v>
      </c>
      <c r="F18" s="745"/>
      <c r="G18" s="211"/>
      <c r="H18" s="514">
        <v>13</v>
      </c>
      <c r="I18" s="237"/>
      <c r="J18" s="238"/>
      <c r="K18" s="234"/>
      <c r="L18" s="216">
        <f t="shared" si="1"/>
        <v>0</v>
      </c>
      <c r="M18" s="745"/>
      <c r="N18" s="211"/>
    </row>
    <row r="19" spans="1:14" ht="15" customHeight="1">
      <c r="A19" s="510">
        <v>14</v>
      </c>
      <c r="B19" s="239"/>
      <c r="C19" s="240"/>
      <c r="D19" s="241"/>
      <c r="E19" s="216">
        <f t="shared" si="0"/>
        <v>0</v>
      </c>
      <c r="F19" s="745"/>
      <c r="G19" s="211"/>
      <c r="H19" s="514">
        <v>14</v>
      </c>
      <c r="I19" s="237"/>
      <c r="J19" s="238"/>
      <c r="K19" s="234"/>
      <c r="L19" s="216">
        <f t="shared" si="1"/>
        <v>0</v>
      </c>
      <c r="M19" s="745"/>
      <c r="N19" s="211"/>
    </row>
    <row r="20" spans="1:14" ht="15" customHeight="1">
      <c r="A20" s="510">
        <v>15</v>
      </c>
      <c r="B20" s="239"/>
      <c r="C20" s="240"/>
      <c r="D20" s="241"/>
      <c r="E20" s="216">
        <f t="shared" si="0"/>
        <v>0</v>
      </c>
      <c r="F20" s="745"/>
      <c r="G20" s="211"/>
      <c r="H20" s="514">
        <v>15</v>
      </c>
      <c r="I20" s="237"/>
      <c r="J20" s="238"/>
      <c r="K20" s="234"/>
      <c r="L20" s="216">
        <f t="shared" si="1"/>
        <v>0</v>
      </c>
      <c r="M20" s="745"/>
      <c r="N20" s="211"/>
    </row>
    <row r="21" spans="1:14" ht="15" customHeight="1">
      <c r="A21" s="510">
        <v>16</v>
      </c>
      <c r="B21" s="239"/>
      <c r="C21" s="240"/>
      <c r="D21" s="241"/>
      <c r="E21" s="216">
        <f t="shared" si="0"/>
        <v>0</v>
      </c>
      <c r="F21" s="745"/>
      <c r="G21" s="211"/>
      <c r="H21" s="514">
        <v>16</v>
      </c>
      <c r="I21" s="237"/>
      <c r="J21" s="238"/>
      <c r="K21" s="234"/>
      <c r="L21" s="216">
        <f t="shared" si="1"/>
        <v>0</v>
      </c>
      <c r="M21" s="745"/>
      <c r="N21" s="211"/>
    </row>
    <row r="22" spans="1:14" ht="15" customHeight="1">
      <c r="A22" s="510">
        <v>17</v>
      </c>
      <c r="B22" s="239"/>
      <c r="C22" s="240"/>
      <c r="D22" s="241"/>
      <c r="E22" s="216">
        <f t="shared" si="0"/>
        <v>0</v>
      </c>
      <c r="F22" s="745"/>
      <c r="G22" s="211"/>
      <c r="H22" s="514">
        <v>17</v>
      </c>
      <c r="I22" s="237"/>
      <c r="J22" s="238"/>
      <c r="K22" s="234"/>
      <c r="L22" s="216">
        <f t="shared" si="1"/>
        <v>0</v>
      </c>
      <c r="M22" s="745"/>
      <c r="N22" s="211"/>
    </row>
    <row r="23" spans="1:14" ht="15" customHeight="1">
      <c r="A23" s="510">
        <v>18</v>
      </c>
      <c r="B23" s="239"/>
      <c r="C23" s="240"/>
      <c r="D23" s="241"/>
      <c r="E23" s="216">
        <f t="shared" si="0"/>
        <v>0</v>
      </c>
      <c r="F23" s="745"/>
      <c r="G23" s="211"/>
      <c r="H23" s="514">
        <v>18</v>
      </c>
      <c r="I23" s="237"/>
      <c r="J23" s="238"/>
      <c r="K23" s="234"/>
      <c r="L23" s="216">
        <f t="shared" si="1"/>
        <v>0</v>
      </c>
      <c r="M23" s="745"/>
      <c r="N23" s="211"/>
    </row>
    <row r="24" spans="1:14" ht="15" customHeight="1">
      <c r="A24" s="510">
        <v>19</v>
      </c>
      <c r="B24" s="239"/>
      <c r="C24" s="240"/>
      <c r="D24" s="241"/>
      <c r="E24" s="216">
        <f t="shared" si="0"/>
        <v>0</v>
      </c>
      <c r="F24" s="745"/>
      <c r="G24" s="211"/>
      <c r="H24" s="514">
        <v>19</v>
      </c>
      <c r="I24" s="237"/>
      <c r="J24" s="238"/>
      <c r="K24" s="234"/>
      <c r="L24" s="216">
        <f t="shared" si="1"/>
        <v>0</v>
      </c>
      <c r="M24" s="745"/>
      <c r="N24" s="211"/>
    </row>
    <row r="25" spans="1:14" ht="15" customHeight="1">
      <c r="A25" s="510">
        <v>20</v>
      </c>
      <c r="B25" s="239"/>
      <c r="C25" s="240"/>
      <c r="D25" s="241"/>
      <c r="E25" s="216">
        <f t="shared" si="0"/>
        <v>0</v>
      </c>
      <c r="F25" s="745"/>
      <c r="G25" s="211"/>
      <c r="H25" s="514">
        <v>20</v>
      </c>
      <c r="I25" s="237"/>
      <c r="J25" s="238"/>
      <c r="K25" s="234"/>
      <c r="L25" s="216">
        <f t="shared" si="1"/>
        <v>0</v>
      </c>
      <c r="M25" s="745"/>
      <c r="N25" s="211"/>
    </row>
    <row r="26" spans="1:14" ht="15" customHeight="1">
      <c r="A26" s="510">
        <v>21</v>
      </c>
      <c r="B26" s="239"/>
      <c r="C26" s="240"/>
      <c r="D26" s="241"/>
      <c r="E26" s="216">
        <f t="shared" si="0"/>
        <v>0</v>
      </c>
      <c r="F26" s="745"/>
      <c r="G26" s="211"/>
      <c r="H26" s="514">
        <v>21</v>
      </c>
      <c r="I26" s="237"/>
      <c r="J26" s="238"/>
      <c r="K26" s="234"/>
      <c r="L26" s="216">
        <f t="shared" si="1"/>
        <v>0</v>
      </c>
      <c r="M26" s="745"/>
      <c r="N26" s="211"/>
    </row>
    <row r="27" spans="1:14" ht="15" customHeight="1">
      <c r="A27" s="510">
        <v>22</v>
      </c>
      <c r="B27" s="239"/>
      <c r="C27" s="240"/>
      <c r="D27" s="241"/>
      <c r="E27" s="216">
        <f t="shared" si="0"/>
        <v>0</v>
      </c>
      <c r="F27" s="745"/>
      <c r="G27" s="211"/>
      <c r="H27" s="514">
        <v>22</v>
      </c>
      <c r="I27" s="237"/>
      <c r="J27" s="238"/>
      <c r="K27" s="234"/>
      <c r="L27" s="216">
        <f t="shared" si="1"/>
        <v>0</v>
      </c>
      <c r="M27" s="745"/>
      <c r="N27" s="211"/>
    </row>
    <row r="28" spans="1:14" ht="15" customHeight="1">
      <c r="A28" s="510">
        <v>23</v>
      </c>
      <c r="B28" s="239"/>
      <c r="C28" s="240"/>
      <c r="D28" s="241"/>
      <c r="E28" s="216">
        <f t="shared" si="0"/>
        <v>0</v>
      </c>
      <c r="F28" s="745"/>
      <c r="G28" s="211"/>
      <c r="H28" s="514">
        <v>23</v>
      </c>
      <c r="I28" s="237"/>
      <c r="J28" s="238"/>
      <c r="K28" s="234"/>
      <c r="L28" s="216">
        <f t="shared" si="1"/>
        <v>0</v>
      </c>
      <c r="M28" s="745"/>
      <c r="N28" s="211"/>
    </row>
    <row r="29" spans="1:14" ht="15" customHeight="1">
      <c r="A29" s="510">
        <v>24</v>
      </c>
      <c r="B29" s="239"/>
      <c r="C29" s="240"/>
      <c r="D29" s="241"/>
      <c r="E29" s="216">
        <f t="shared" si="0"/>
        <v>0</v>
      </c>
      <c r="F29" s="745"/>
      <c r="G29" s="211"/>
      <c r="H29" s="514">
        <v>24</v>
      </c>
      <c r="I29" s="237"/>
      <c r="J29" s="238"/>
      <c r="K29" s="234"/>
      <c r="L29" s="216">
        <f t="shared" si="1"/>
        <v>0</v>
      </c>
      <c r="M29" s="745"/>
      <c r="N29" s="211"/>
    </row>
    <row r="30" spans="1:14" ht="15" customHeight="1">
      <c r="A30" s="510">
        <v>25</v>
      </c>
      <c r="B30" s="239"/>
      <c r="C30" s="240"/>
      <c r="D30" s="241"/>
      <c r="E30" s="216">
        <f t="shared" si="0"/>
        <v>0</v>
      </c>
      <c r="F30" s="745"/>
      <c r="G30" s="211"/>
      <c r="H30" s="514">
        <v>25</v>
      </c>
      <c r="I30" s="237"/>
      <c r="J30" s="238"/>
      <c r="K30" s="234"/>
      <c r="L30" s="216">
        <f t="shared" si="1"/>
        <v>0</v>
      </c>
      <c r="M30" s="745"/>
      <c r="N30" s="211"/>
    </row>
    <row r="31" spans="1:14" ht="15" customHeight="1">
      <c r="A31" s="510">
        <v>26</v>
      </c>
      <c r="B31" s="239"/>
      <c r="C31" s="240"/>
      <c r="D31" s="241"/>
      <c r="E31" s="216">
        <f t="shared" si="0"/>
        <v>0</v>
      </c>
      <c r="F31" s="745"/>
      <c r="G31" s="211"/>
      <c r="H31" s="514">
        <v>26</v>
      </c>
      <c r="I31" s="237"/>
      <c r="J31" s="238"/>
      <c r="K31" s="234"/>
      <c r="L31" s="216">
        <f t="shared" si="1"/>
        <v>0</v>
      </c>
      <c r="M31" s="745"/>
      <c r="N31" s="211"/>
    </row>
    <row r="32" spans="1:14" ht="15" customHeight="1">
      <c r="A32" s="510">
        <v>27</v>
      </c>
      <c r="B32" s="239"/>
      <c r="C32" s="240"/>
      <c r="D32" s="241"/>
      <c r="E32" s="216">
        <f t="shared" si="0"/>
        <v>0</v>
      </c>
      <c r="F32" s="745"/>
      <c r="G32" s="211"/>
      <c r="H32" s="514">
        <v>27</v>
      </c>
      <c r="I32" s="237"/>
      <c r="J32" s="238"/>
      <c r="K32" s="234"/>
      <c r="L32" s="216">
        <f t="shared" si="1"/>
        <v>0</v>
      </c>
      <c r="M32" s="745"/>
      <c r="N32" s="211"/>
    </row>
    <row r="33" spans="1:14" ht="15" customHeight="1">
      <c r="A33" s="510">
        <v>28</v>
      </c>
      <c r="B33" s="239"/>
      <c r="C33" s="240"/>
      <c r="D33" s="241"/>
      <c r="E33" s="216">
        <f t="shared" si="0"/>
        <v>0</v>
      </c>
      <c r="F33" s="745"/>
      <c r="G33" s="211"/>
      <c r="H33" s="514">
        <v>28</v>
      </c>
      <c r="I33" s="237"/>
      <c r="J33" s="238"/>
      <c r="K33" s="234"/>
      <c r="L33" s="216">
        <f t="shared" si="1"/>
        <v>0</v>
      </c>
      <c r="M33" s="745"/>
      <c r="N33" s="211"/>
    </row>
    <row r="34" spans="1:14" ht="15" customHeight="1">
      <c r="A34" s="510">
        <v>29</v>
      </c>
      <c r="B34" s="239"/>
      <c r="C34" s="240"/>
      <c r="D34" s="241"/>
      <c r="E34" s="216">
        <f t="shared" si="0"/>
        <v>0</v>
      </c>
      <c r="F34" s="745"/>
      <c r="G34" s="211"/>
      <c r="H34" s="514">
        <v>29</v>
      </c>
      <c r="I34" s="237"/>
      <c r="J34" s="238"/>
      <c r="K34" s="234"/>
      <c r="L34" s="216">
        <f t="shared" si="1"/>
        <v>0</v>
      </c>
      <c r="M34" s="745"/>
      <c r="N34" s="211"/>
    </row>
    <row r="35" spans="1:14" ht="15" customHeight="1">
      <c r="A35" s="510">
        <v>30</v>
      </c>
      <c r="B35" s="239"/>
      <c r="C35" s="240"/>
      <c r="D35" s="241"/>
      <c r="E35" s="216">
        <f t="shared" si="0"/>
        <v>0</v>
      </c>
      <c r="F35" s="745"/>
      <c r="G35" s="211"/>
      <c r="H35" s="514">
        <v>30</v>
      </c>
      <c r="I35" s="237"/>
      <c r="J35" s="238"/>
      <c r="K35" s="234"/>
      <c r="L35" s="216">
        <f t="shared" si="1"/>
        <v>0</v>
      </c>
      <c r="M35" s="745"/>
      <c r="N35" s="211"/>
    </row>
    <row r="36" spans="1:14" ht="15" customHeight="1">
      <c r="A36" s="510">
        <v>31</v>
      </c>
      <c r="B36" s="239"/>
      <c r="C36" s="240"/>
      <c r="D36" s="241"/>
      <c r="E36" s="216">
        <f t="shared" si="0"/>
        <v>0</v>
      </c>
      <c r="F36" s="745"/>
      <c r="G36" s="211"/>
      <c r="H36" s="514">
        <v>31</v>
      </c>
      <c r="I36" s="237"/>
      <c r="J36" s="238"/>
      <c r="K36" s="234"/>
      <c r="L36" s="216">
        <f t="shared" si="1"/>
        <v>0</v>
      </c>
      <c r="M36" s="745"/>
      <c r="N36" s="211"/>
    </row>
    <row r="37" spans="1:14" ht="15" customHeight="1">
      <c r="A37" s="510">
        <v>32</v>
      </c>
      <c r="B37" s="239"/>
      <c r="C37" s="240"/>
      <c r="D37" s="241"/>
      <c r="E37" s="216">
        <f t="shared" si="0"/>
        <v>0</v>
      </c>
      <c r="F37" s="745"/>
      <c r="G37" s="211"/>
      <c r="H37" s="514">
        <v>32</v>
      </c>
      <c r="I37" s="237"/>
      <c r="J37" s="238"/>
      <c r="K37" s="234"/>
      <c r="L37" s="216">
        <f t="shared" si="1"/>
        <v>0</v>
      </c>
      <c r="M37" s="745"/>
      <c r="N37" s="211"/>
    </row>
    <row r="38" spans="1:14" ht="15" customHeight="1">
      <c r="A38" s="510">
        <v>33</v>
      </c>
      <c r="B38" s="239"/>
      <c r="C38" s="240"/>
      <c r="D38" s="241"/>
      <c r="E38" s="216">
        <f t="shared" ref="E38:E69" si="2">ROUND(B38/1000*C38*E$100,3)</f>
        <v>0</v>
      </c>
      <c r="F38" s="745"/>
      <c r="G38" s="211"/>
      <c r="H38" s="514">
        <v>33</v>
      </c>
      <c r="I38" s="237"/>
      <c r="J38" s="238"/>
      <c r="K38" s="234"/>
      <c r="L38" s="216">
        <f t="shared" ref="L38:L69" si="3">ROUND(I38/1000*J38*L$100,3)</f>
        <v>0</v>
      </c>
      <c r="M38" s="745"/>
      <c r="N38" s="211"/>
    </row>
    <row r="39" spans="1:14" ht="15" customHeight="1">
      <c r="A39" s="510">
        <v>34</v>
      </c>
      <c r="B39" s="239"/>
      <c r="C39" s="240"/>
      <c r="D39" s="241"/>
      <c r="E39" s="216">
        <f t="shared" si="2"/>
        <v>0</v>
      </c>
      <c r="F39" s="745"/>
      <c r="G39" s="211"/>
      <c r="H39" s="514">
        <v>34</v>
      </c>
      <c r="I39" s="237"/>
      <c r="J39" s="238"/>
      <c r="K39" s="234"/>
      <c r="L39" s="216">
        <f t="shared" si="3"/>
        <v>0</v>
      </c>
      <c r="M39" s="745"/>
      <c r="N39" s="211"/>
    </row>
    <row r="40" spans="1:14" ht="15" customHeight="1">
      <c r="A40" s="510">
        <v>35</v>
      </c>
      <c r="B40" s="239"/>
      <c r="C40" s="240"/>
      <c r="D40" s="241"/>
      <c r="E40" s="216">
        <f t="shared" si="2"/>
        <v>0</v>
      </c>
      <c r="F40" s="745"/>
      <c r="H40" s="514">
        <v>35</v>
      </c>
      <c r="I40" s="237"/>
      <c r="J40" s="238"/>
      <c r="K40" s="234"/>
      <c r="L40" s="216">
        <f t="shared" si="3"/>
        <v>0</v>
      </c>
      <c r="M40" s="745"/>
    </row>
    <row r="41" spans="1:14" ht="15" customHeight="1">
      <c r="A41" s="510">
        <v>36</v>
      </c>
      <c r="B41" s="239"/>
      <c r="C41" s="240"/>
      <c r="D41" s="241"/>
      <c r="E41" s="216">
        <f t="shared" si="2"/>
        <v>0</v>
      </c>
      <c r="F41" s="745"/>
      <c r="H41" s="514">
        <v>36</v>
      </c>
      <c r="I41" s="237"/>
      <c r="J41" s="238"/>
      <c r="K41" s="234"/>
      <c r="L41" s="216">
        <f t="shared" si="3"/>
        <v>0</v>
      </c>
      <c r="M41" s="745"/>
    </row>
    <row r="42" spans="1:14" ht="15" customHeight="1">
      <c r="A42" s="510">
        <v>37</v>
      </c>
      <c r="B42" s="239"/>
      <c r="C42" s="240"/>
      <c r="D42" s="241"/>
      <c r="E42" s="216">
        <f t="shared" si="2"/>
        <v>0</v>
      </c>
      <c r="F42" s="745"/>
      <c r="H42" s="514">
        <v>37</v>
      </c>
      <c r="I42" s="237"/>
      <c r="J42" s="238"/>
      <c r="K42" s="234"/>
      <c r="L42" s="216">
        <f t="shared" si="3"/>
        <v>0</v>
      </c>
      <c r="M42" s="745"/>
    </row>
    <row r="43" spans="1:14" ht="15" customHeight="1">
      <c r="A43" s="510">
        <v>38</v>
      </c>
      <c r="B43" s="239"/>
      <c r="C43" s="240"/>
      <c r="D43" s="241"/>
      <c r="E43" s="216">
        <f t="shared" si="2"/>
        <v>0</v>
      </c>
      <c r="F43" s="745"/>
      <c r="H43" s="514">
        <v>38</v>
      </c>
      <c r="I43" s="237"/>
      <c r="J43" s="238"/>
      <c r="K43" s="234"/>
      <c r="L43" s="216">
        <f t="shared" si="3"/>
        <v>0</v>
      </c>
      <c r="M43" s="745"/>
    </row>
    <row r="44" spans="1:14" ht="15" customHeight="1">
      <c r="A44" s="510">
        <v>39</v>
      </c>
      <c r="B44" s="239"/>
      <c r="C44" s="240"/>
      <c r="D44" s="241"/>
      <c r="E44" s="216">
        <f t="shared" si="2"/>
        <v>0</v>
      </c>
      <c r="F44" s="745"/>
      <c r="H44" s="514">
        <v>39</v>
      </c>
      <c r="I44" s="237"/>
      <c r="J44" s="238"/>
      <c r="K44" s="234"/>
      <c r="L44" s="216">
        <f t="shared" si="3"/>
        <v>0</v>
      </c>
      <c r="M44" s="745"/>
    </row>
    <row r="45" spans="1:14" ht="15" customHeight="1">
      <c r="A45" s="510">
        <v>40</v>
      </c>
      <c r="B45" s="239"/>
      <c r="C45" s="240"/>
      <c r="D45" s="241"/>
      <c r="E45" s="216">
        <f t="shared" si="2"/>
        <v>0</v>
      </c>
      <c r="F45" s="745"/>
      <c r="H45" s="514">
        <v>40</v>
      </c>
      <c r="I45" s="237"/>
      <c r="J45" s="238"/>
      <c r="K45" s="234"/>
      <c r="L45" s="216">
        <f t="shared" si="3"/>
        <v>0</v>
      </c>
      <c r="M45" s="745"/>
    </row>
    <row r="46" spans="1:14" ht="15" customHeight="1">
      <c r="A46" s="510">
        <v>41</v>
      </c>
      <c r="B46" s="239"/>
      <c r="C46" s="240"/>
      <c r="D46" s="241"/>
      <c r="E46" s="216">
        <f t="shared" si="2"/>
        <v>0</v>
      </c>
      <c r="F46" s="745"/>
      <c r="H46" s="514">
        <v>41</v>
      </c>
      <c r="I46" s="237"/>
      <c r="J46" s="238"/>
      <c r="K46" s="234"/>
      <c r="L46" s="216">
        <f t="shared" si="3"/>
        <v>0</v>
      </c>
      <c r="M46" s="745"/>
    </row>
    <row r="47" spans="1:14" ht="15" customHeight="1">
      <c r="A47" s="510">
        <v>42</v>
      </c>
      <c r="B47" s="239"/>
      <c r="C47" s="240"/>
      <c r="D47" s="241"/>
      <c r="E47" s="216">
        <f t="shared" si="2"/>
        <v>0</v>
      </c>
      <c r="F47" s="745"/>
      <c r="H47" s="514">
        <v>42</v>
      </c>
      <c r="I47" s="237"/>
      <c r="J47" s="238"/>
      <c r="K47" s="234"/>
      <c r="L47" s="216">
        <f t="shared" si="3"/>
        <v>0</v>
      </c>
      <c r="M47" s="745"/>
    </row>
    <row r="48" spans="1:14" ht="15" customHeight="1">
      <c r="A48" s="510">
        <v>43</v>
      </c>
      <c r="B48" s="239"/>
      <c r="C48" s="240"/>
      <c r="D48" s="241"/>
      <c r="E48" s="216">
        <f t="shared" si="2"/>
        <v>0</v>
      </c>
      <c r="F48" s="745"/>
      <c r="H48" s="514">
        <v>43</v>
      </c>
      <c r="I48" s="237"/>
      <c r="J48" s="238"/>
      <c r="K48" s="234"/>
      <c r="L48" s="216">
        <f t="shared" si="3"/>
        <v>0</v>
      </c>
      <c r="M48" s="745"/>
    </row>
    <row r="49" spans="1:13" ht="15" customHeight="1">
      <c r="A49" s="510">
        <v>44</v>
      </c>
      <c r="B49" s="239"/>
      <c r="C49" s="240"/>
      <c r="D49" s="241"/>
      <c r="E49" s="216">
        <f t="shared" si="2"/>
        <v>0</v>
      </c>
      <c r="F49" s="745"/>
      <c r="H49" s="514">
        <v>44</v>
      </c>
      <c r="I49" s="237"/>
      <c r="J49" s="238"/>
      <c r="K49" s="234"/>
      <c r="L49" s="216">
        <f t="shared" si="3"/>
        <v>0</v>
      </c>
      <c r="M49" s="745"/>
    </row>
    <row r="50" spans="1:13" ht="15" customHeight="1">
      <c r="A50" s="510">
        <v>45</v>
      </c>
      <c r="B50" s="239"/>
      <c r="C50" s="240"/>
      <c r="D50" s="241"/>
      <c r="E50" s="216">
        <f t="shared" si="2"/>
        <v>0</v>
      </c>
      <c r="F50" s="745"/>
      <c r="H50" s="514">
        <v>45</v>
      </c>
      <c r="I50" s="237"/>
      <c r="J50" s="238"/>
      <c r="K50" s="234"/>
      <c r="L50" s="216">
        <f t="shared" si="3"/>
        <v>0</v>
      </c>
      <c r="M50" s="745"/>
    </row>
    <row r="51" spans="1:13" ht="15" customHeight="1">
      <c r="A51" s="510">
        <v>46</v>
      </c>
      <c r="B51" s="239"/>
      <c r="C51" s="240"/>
      <c r="D51" s="241"/>
      <c r="E51" s="216">
        <f t="shared" si="2"/>
        <v>0</v>
      </c>
      <c r="F51" s="745"/>
      <c r="H51" s="514">
        <v>46</v>
      </c>
      <c r="I51" s="237"/>
      <c r="J51" s="238"/>
      <c r="K51" s="234"/>
      <c r="L51" s="216">
        <f t="shared" si="3"/>
        <v>0</v>
      </c>
      <c r="M51" s="745"/>
    </row>
    <row r="52" spans="1:13" ht="15" customHeight="1">
      <c r="A52" s="510">
        <v>47</v>
      </c>
      <c r="B52" s="239"/>
      <c r="C52" s="240"/>
      <c r="D52" s="241"/>
      <c r="E52" s="216">
        <f t="shared" si="2"/>
        <v>0</v>
      </c>
      <c r="F52" s="745"/>
      <c r="H52" s="514">
        <v>47</v>
      </c>
      <c r="I52" s="237"/>
      <c r="J52" s="238"/>
      <c r="K52" s="234"/>
      <c r="L52" s="216">
        <f t="shared" si="3"/>
        <v>0</v>
      </c>
      <c r="M52" s="745"/>
    </row>
    <row r="53" spans="1:13" ht="15" customHeight="1">
      <c r="A53" s="510">
        <v>48</v>
      </c>
      <c r="B53" s="239"/>
      <c r="C53" s="240"/>
      <c r="D53" s="241"/>
      <c r="E53" s="216">
        <f t="shared" si="2"/>
        <v>0</v>
      </c>
      <c r="F53" s="745"/>
      <c r="H53" s="514">
        <v>48</v>
      </c>
      <c r="I53" s="237"/>
      <c r="J53" s="238"/>
      <c r="K53" s="234"/>
      <c r="L53" s="216">
        <f t="shared" si="3"/>
        <v>0</v>
      </c>
      <c r="M53" s="745"/>
    </row>
    <row r="54" spans="1:13" ht="15" customHeight="1">
      <c r="A54" s="510">
        <v>49</v>
      </c>
      <c r="B54" s="239"/>
      <c r="C54" s="240"/>
      <c r="D54" s="241"/>
      <c r="E54" s="216">
        <f t="shared" si="2"/>
        <v>0</v>
      </c>
      <c r="F54" s="745"/>
      <c r="H54" s="514">
        <v>49</v>
      </c>
      <c r="I54" s="237"/>
      <c r="J54" s="238"/>
      <c r="K54" s="234"/>
      <c r="L54" s="216">
        <f t="shared" si="3"/>
        <v>0</v>
      </c>
      <c r="M54" s="745"/>
    </row>
    <row r="55" spans="1:13" ht="15" customHeight="1">
      <c r="A55" s="510">
        <v>50</v>
      </c>
      <c r="B55" s="239"/>
      <c r="C55" s="240"/>
      <c r="D55" s="241"/>
      <c r="E55" s="216">
        <f t="shared" si="2"/>
        <v>0</v>
      </c>
      <c r="F55" s="745"/>
      <c r="H55" s="514">
        <v>50</v>
      </c>
      <c r="I55" s="237"/>
      <c r="J55" s="238"/>
      <c r="K55" s="234"/>
      <c r="L55" s="216">
        <f t="shared" si="3"/>
        <v>0</v>
      </c>
      <c r="M55" s="745"/>
    </row>
    <row r="56" spans="1:13" ht="15" customHeight="1">
      <c r="A56" s="510">
        <v>51</v>
      </c>
      <c r="B56" s="239"/>
      <c r="C56" s="240"/>
      <c r="D56" s="241"/>
      <c r="E56" s="216">
        <f t="shared" si="2"/>
        <v>0</v>
      </c>
      <c r="F56" s="745"/>
      <c r="H56" s="514">
        <v>51</v>
      </c>
      <c r="I56" s="237"/>
      <c r="J56" s="238"/>
      <c r="K56" s="234"/>
      <c r="L56" s="216">
        <f t="shared" si="3"/>
        <v>0</v>
      </c>
      <c r="M56" s="745"/>
    </row>
    <row r="57" spans="1:13" ht="15" customHeight="1">
      <c r="A57" s="510">
        <v>52</v>
      </c>
      <c r="B57" s="239"/>
      <c r="C57" s="240"/>
      <c r="D57" s="241"/>
      <c r="E57" s="216">
        <f t="shared" si="2"/>
        <v>0</v>
      </c>
      <c r="F57" s="745"/>
      <c r="H57" s="514">
        <v>52</v>
      </c>
      <c r="I57" s="237"/>
      <c r="J57" s="238"/>
      <c r="K57" s="234"/>
      <c r="L57" s="216">
        <f t="shared" si="3"/>
        <v>0</v>
      </c>
      <c r="M57" s="745"/>
    </row>
    <row r="58" spans="1:13" ht="15" customHeight="1">
      <c r="A58" s="510">
        <v>53</v>
      </c>
      <c r="B58" s="239"/>
      <c r="C58" s="240"/>
      <c r="D58" s="241"/>
      <c r="E58" s="216">
        <f t="shared" si="2"/>
        <v>0</v>
      </c>
      <c r="F58" s="745"/>
      <c r="H58" s="514">
        <v>53</v>
      </c>
      <c r="I58" s="237"/>
      <c r="J58" s="238"/>
      <c r="K58" s="234"/>
      <c r="L58" s="216">
        <f t="shared" si="3"/>
        <v>0</v>
      </c>
      <c r="M58" s="745"/>
    </row>
    <row r="59" spans="1:13" ht="15" customHeight="1">
      <c r="A59" s="510">
        <v>54</v>
      </c>
      <c r="B59" s="239"/>
      <c r="C59" s="240"/>
      <c r="D59" s="241"/>
      <c r="E59" s="216">
        <f t="shared" si="2"/>
        <v>0</v>
      </c>
      <c r="F59" s="745"/>
      <c r="H59" s="514">
        <v>54</v>
      </c>
      <c r="I59" s="237"/>
      <c r="J59" s="238"/>
      <c r="K59" s="234"/>
      <c r="L59" s="216">
        <f t="shared" si="3"/>
        <v>0</v>
      </c>
      <c r="M59" s="745"/>
    </row>
    <row r="60" spans="1:13" ht="15" customHeight="1">
      <c r="A60" s="510">
        <v>55</v>
      </c>
      <c r="B60" s="239"/>
      <c r="C60" s="240"/>
      <c r="D60" s="241"/>
      <c r="E60" s="216">
        <f t="shared" si="2"/>
        <v>0</v>
      </c>
      <c r="F60" s="745"/>
      <c r="H60" s="514">
        <v>55</v>
      </c>
      <c r="I60" s="237"/>
      <c r="J60" s="238"/>
      <c r="K60" s="234"/>
      <c r="L60" s="216">
        <f t="shared" si="3"/>
        <v>0</v>
      </c>
      <c r="M60" s="745"/>
    </row>
    <row r="61" spans="1:13" ht="15" customHeight="1">
      <c r="A61" s="510">
        <v>56</v>
      </c>
      <c r="B61" s="239"/>
      <c r="C61" s="240"/>
      <c r="D61" s="241"/>
      <c r="E61" s="216">
        <f t="shared" si="2"/>
        <v>0</v>
      </c>
      <c r="F61" s="745"/>
      <c r="H61" s="514">
        <v>56</v>
      </c>
      <c r="I61" s="237"/>
      <c r="J61" s="238"/>
      <c r="K61" s="234"/>
      <c r="L61" s="216">
        <f t="shared" si="3"/>
        <v>0</v>
      </c>
      <c r="M61" s="745"/>
    </row>
    <row r="62" spans="1:13" ht="15" customHeight="1">
      <c r="A62" s="510">
        <v>57</v>
      </c>
      <c r="B62" s="239"/>
      <c r="C62" s="240"/>
      <c r="D62" s="241"/>
      <c r="E62" s="216">
        <f t="shared" si="2"/>
        <v>0</v>
      </c>
      <c r="F62" s="745"/>
      <c r="H62" s="514">
        <v>57</v>
      </c>
      <c r="I62" s="237"/>
      <c r="J62" s="238"/>
      <c r="K62" s="234"/>
      <c r="L62" s="216">
        <f t="shared" si="3"/>
        <v>0</v>
      </c>
      <c r="M62" s="745"/>
    </row>
    <row r="63" spans="1:13" ht="15" customHeight="1">
      <c r="A63" s="510">
        <v>58</v>
      </c>
      <c r="B63" s="239"/>
      <c r="C63" s="240"/>
      <c r="D63" s="241"/>
      <c r="E63" s="216">
        <f t="shared" si="2"/>
        <v>0</v>
      </c>
      <c r="F63" s="745"/>
      <c r="H63" s="514">
        <v>58</v>
      </c>
      <c r="I63" s="237"/>
      <c r="J63" s="238"/>
      <c r="K63" s="234"/>
      <c r="L63" s="216">
        <f t="shared" si="3"/>
        <v>0</v>
      </c>
      <c r="M63" s="745"/>
    </row>
    <row r="64" spans="1:13" ht="15" customHeight="1">
      <c r="A64" s="510">
        <v>59</v>
      </c>
      <c r="B64" s="239"/>
      <c r="C64" s="240"/>
      <c r="D64" s="241"/>
      <c r="E64" s="216">
        <f t="shared" si="2"/>
        <v>0</v>
      </c>
      <c r="F64" s="745"/>
      <c r="H64" s="514">
        <v>59</v>
      </c>
      <c r="I64" s="237"/>
      <c r="J64" s="238"/>
      <c r="K64" s="234"/>
      <c r="L64" s="216">
        <f t="shared" si="3"/>
        <v>0</v>
      </c>
      <c r="M64" s="745"/>
    </row>
    <row r="65" spans="1:13" ht="15" customHeight="1">
      <c r="A65" s="510">
        <v>60</v>
      </c>
      <c r="B65" s="239"/>
      <c r="C65" s="240"/>
      <c r="D65" s="241"/>
      <c r="E65" s="216">
        <f t="shared" si="2"/>
        <v>0</v>
      </c>
      <c r="F65" s="745"/>
      <c r="H65" s="514">
        <v>60</v>
      </c>
      <c r="I65" s="237"/>
      <c r="J65" s="238"/>
      <c r="K65" s="234"/>
      <c r="L65" s="216">
        <f t="shared" si="3"/>
        <v>0</v>
      </c>
      <c r="M65" s="745"/>
    </row>
    <row r="66" spans="1:13" ht="15" customHeight="1">
      <c r="A66" s="510">
        <v>61</v>
      </c>
      <c r="B66" s="239"/>
      <c r="C66" s="240"/>
      <c r="D66" s="241"/>
      <c r="E66" s="216">
        <f t="shared" si="2"/>
        <v>0</v>
      </c>
      <c r="F66" s="745"/>
      <c r="H66" s="514">
        <v>61</v>
      </c>
      <c r="I66" s="237"/>
      <c r="J66" s="238"/>
      <c r="K66" s="234"/>
      <c r="L66" s="216">
        <f t="shared" si="3"/>
        <v>0</v>
      </c>
      <c r="M66" s="745"/>
    </row>
    <row r="67" spans="1:13" ht="15" customHeight="1">
      <c r="A67" s="510">
        <v>62</v>
      </c>
      <c r="B67" s="239"/>
      <c r="C67" s="240"/>
      <c r="D67" s="241"/>
      <c r="E67" s="216">
        <f t="shared" si="2"/>
        <v>0</v>
      </c>
      <c r="F67" s="745"/>
      <c r="H67" s="514">
        <v>62</v>
      </c>
      <c r="I67" s="237"/>
      <c r="J67" s="238"/>
      <c r="K67" s="234"/>
      <c r="L67" s="216">
        <f t="shared" si="3"/>
        <v>0</v>
      </c>
      <c r="M67" s="745"/>
    </row>
    <row r="68" spans="1:13" ht="15" customHeight="1">
      <c r="A68" s="510">
        <v>63</v>
      </c>
      <c r="B68" s="239"/>
      <c r="C68" s="240"/>
      <c r="D68" s="241"/>
      <c r="E68" s="216">
        <f t="shared" si="2"/>
        <v>0</v>
      </c>
      <c r="F68" s="745"/>
      <c r="G68" s="217"/>
      <c r="H68" s="514">
        <v>63</v>
      </c>
      <c r="I68" s="237"/>
      <c r="J68" s="238"/>
      <c r="K68" s="234"/>
      <c r="L68" s="216">
        <f t="shared" si="3"/>
        <v>0</v>
      </c>
      <c r="M68" s="745"/>
    </row>
    <row r="69" spans="1:13" ht="15" customHeight="1">
      <c r="A69" s="510">
        <v>64</v>
      </c>
      <c r="B69" s="239"/>
      <c r="C69" s="240"/>
      <c r="D69" s="241"/>
      <c r="E69" s="216">
        <f t="shared" si="2"/>
        <v>0</v>
      </c>
      <c r="F69" s="745"/>
      <c r="G69" s="217"/>
      <c r="H69" s="514">
        <v>64</v>
      </c>
      <c r="I69" s="237"/>
      <c r="J69" s="238"/>
      <c r="K69" s="234"/>
      <c r="L69" s="216">
        <f t="shared" si="3"/>
        <v>0</v>
      </c>
      <c r="M69" s="745"/>
    </row>
    <row r="70" spans="1:13" ht="15" customHeight="1">
      <c r="A70" s="510">
        <v>65</v>
      </c>
      <c r="B70" s="239"/>
      <c r="C70" s="240"/>
      <c r="D70" s="241"/>
      <c r="E70" s="216">
        <f t="shared" ref="E70:E99" si="4">ROUND(B70/1000*C70*E$100,3)</f>
        <v>0</v>
      </c>
      <c r="F70" s="745"/>
      <c r="G70" s="217"/>
      <c r="H70" s="514">
        <v>65</v>
      </c>
      <c r="I70" s="237"/>
      <c r="J70" s="238"/>
      <c r="K70" s="234"/>
      <c r="L70" s="216">
        <f t="shared" ref="L70:L99" si="5">ROUND(I70/1000*J70*L$100,3)</f>
        <v>0</v>
      </c>
      <c r="M70" s="745"/>
    </row>
    <row r="71" spans="1:13" ht="15" customHeight="1">
      <c r="A71" s="510">
        <v>66</v>
      </c>
      <c r="B71" s="239"/>
      <c r="C71" s="240"/>
      <c r="D71" s="241"/>
      <c r="E71" s="216">
        <f t="shared" si="4"/>
        <v>0</v>
      </c>
      <c r="F71" s="745"/>
      <c r="G71" s="217"/>
      <c r="H71" s="514">
        <v>66</v>
      </c>
      <c r="I71" s="237"/>
      <c r="J71" s="238"/>
      <c r="K71" s="234"/>
      <c r="L71" s="216">
        <f t="shared" si="5"/>
        <v>0</v>
      </c>
      <c r="M71" s="745"/>
    </row>
    <row r="72" spans="1:13" ht="15" customHeight="1">
      <c r="A72" s="510">
        <v>67</v>
      </c>
      <c r="B72" s="239"/>
      <c r="C72" s="240"/>
      <c r="D72" s="241"/>
      <c r="E72" s="216">
        <f t="shared" si="4"/>
        <v>0</v>
      </c>
      <c r="F72" s="745"/>
      <c r="G72" s="217"/>
      <c r="H72" s="514">
        <v>67</v>
      </c>
      <c r="I72" s="237"/>
      <c r="J72" s="238"/>
      <c r="K72" s="234"/>
      <c r="L72" s="216">
        <f t="shared" si="5"/>
        <v>0</v>
      </c>
      <c r="M72" s="745"/>
    </row>
    <row r="73" spans="1:13" ht="15" customHeight="1">
      <c r="A73" s="510">
        <v>68</v>
      </c>
      <c r="B73" s="239"/>
      <c r="C73" s="240"/>
      <c r="D73" s="241"/>
      <c r="E73" s="216">
        <f t="shared" si="4"/>
        <v>0</v>
      </c>
      <c r="F73" s="745"/>
      <c r="G73" s="217"/>
      <c r="H73" s="514">
        <v>68</v>
      </c>
      <c r="I73" s="237"/>
      <c r="J73" s="238"/>
      <c r="K73" s="234"/>
      <c r="L73" s="216">
        <f t="shared" si="5"/>
        <v>0</v>
      </c>
      <c r="M73" s="745"/>
    </row>
    <row r="74" spans="1:13" ht="15" customHeight="1">
      <c r="A74" s="510">
        <v>69</v>
      </c>
      <c r="B74" s="239"/>
      <c r="C74" s="240"/>
      <c r="D74" s="241"/>
      <c r="E74" s="216">
        <f t="shared" si="4"/>
        <v>0</v>
      </c>
      <c r="F74" s="745"/>
      <c r="G74" s="217"/>
      <c r="H74" s="514">
        <v>69</v>
      </c>
      <c r="I74" s="237"/>
      <c r="J74" s="238"/>
      <c r="K74" s="234"/>
      <c r="L74" s="216">
        <f t="shared" si="5"/>
        <v>0</v>
      </c>
      <c r="M74" s="745"/>
    </row>
    <row r="75" spans="1:13" ht="15" customHeight="1">
      <c r="A75" s="510">
        <v>70</v>
      </c>
      <c r="B75" s="239"/>
      <c r="C75" s="240"/>
      <c r="D75" s="241"/>
      <c r="E75" s="216">
        <f t="shared" si="4"/>
        <v>0</v>
      </c>
      <c r="F75" s="745"/>
      <c r="G75" s="217"/>
      <c r="H75" s="514">
        <v>70</v>
      </c>
      <c r="I75" s="237"/>
      <c r="J75" s="238"/>
      <c r="K75" s="234"/>
      <c r="L75" s="216">
        <f t="shared" si="5"/>
        <v>0</v>
      </c>
      <c r="M75" s="745"/>
    </row>
    <row r="76" spans="1:13" ht="15" customHeight="1">
      <c r="A76" s="510">
        <v>71</v>
      </c>
      <c r="B76" s="239"/>
      <c r="C76" s="240"/>
      <c r="D76" s="241"/>
      <c r="E76" s="216">
        <f t="shared" si="4"/>
        <v>0</v>
      </c>
      <c r="F76" s="745"/>
      <c r="G76" s="217"/>
      <c r="H76" s="514">
        <v>71</v>
      </c>
      <c r="I76" s="237"/>
      <c r="J76" s="238"/>
      <c r="K76" s="234"/>
      <c r="L76" s="216">
        <f t="shared" si="5"/>
        <v>0</v>
      </c>
      <c r="M76" s="745"/>
    </row>
    <row r="77" spans="1:13" ht="15" customHeight="1">
      <c r="A77" s="510">
        <v>72</v>
      </c>
      <c r="B77" s="239"/>
      <c r="C77" s="240"/>
      <c r="D77" s="241"/>
      <c r="E77" s="216">
        <f t="shared" si="4"/>
        <v>0</v>
      </c>
      <c r="F77" s="745"/>
      <c r="G77" s="217"/>
      <c r="H77" s="514">
        <v>72</v>
      </c>
      <c r="I77" s="237"/>
      <c r="J77" s="238"/>
      <c r="K77" s="234"/>
      <c r="L77" s="216">
        <f t="shared" si="5"/>
        <v>0</v>
      </c>
      <c r="M77" s="745"/>
    </row>
    <row r="78" spans="1:13" ht="15" customHeight="1">
      <c r="A78" s="510">
        <v>73</v>
      </c>
      <c r="B78" s="239"/>
      <c r="C78" s="240"/>
      <c r="D78" s="241"/>
      <c r="E78" s="216">
        <f t="shared" si="4"/>
        <v>0</v>
      </c>
      <c r="F78" s="745"/>
      <c r="G78" s="217"/>
      <c r="H78" s="514">
        <v>73</v>
      </c>
      <c r="I78" s="237"/>
      <c r="J78" s="238"/>
      <c r="K78" s="234"/>
      <c r="L78" s="216">
        <f t="shared" si="5"/>
        <v>0</v>
      </c>
      <c r="M78" s="745"/>
    </row>
    <row r="79" spans="1:13" ht="15" customHeight="1">
      <c r="A79" s="510">
        <v>74</v>
      </c>
      <c r="B79" s="239"/>
      <c r="C79" s="240"/>
      <c r="D79" s="241"/>
      <c r="E79" s="216">
        <f t="shared" si="4"/>
        <v>0</v>
      </c>
      <c r="F79" s="745"/>
      <c r="G79" s="217"/>
      <c r="H79" s="514">
        <v>74</v>
      </c>
      <c r="I79" s="237"/>
      <c r="J79" s="238"/>
      <c r="K79" s="234"/>
      <c r="L79" s="216">
        <f t="shared" si="5"/>
        <v>0</v>
      </c>
      <c r="M79" s="745"/>
    </row>
    <row r="80" spans="1:13" ht="15" customHeight="1">
      <c r="A80" s="510">
        <v>75</v>
      </c>
      <c r="B80" s="239"/>
      <c r="C80" s="240"/>
      <c r="D80" s="241"/>
      <c r="E80" s="216">
        <f t="shared" si="4"/>
        <v>0</v>
      </c>
      <c r="F80" s="745"/>
      <c r="G80" s="217"/>
      <c r="H80" s="514">
        <v>75</v>
      </c>
      <c r="I80" s="237"/>
      <c r="J80" s="238"/>
      <c r="K80" s="234"/>
      <c r="L80" s="216">
        <f t="shared" si="5"/>
        <v>0</v>
      </c>
      <c r="M80" s="745"/>
    </row>
    <row r="81" spans="1:13" ht="15" customHeight="1">
      <c r="A81" s="510">
        <v>76</v>
      </c>
      <c r="B81" s="239"/>
      <c r="C81" s="240"/>
      <c r="D81" s="241"/>
      <c r="E81" s="216">
        <f t="shared" si="4"/>
        <v>0</v>
      </c>
      <c r="F81" s="745"/>
      <c r="G81" s="217"/>
      <c r="H81" s="514">
        <v>76</v>
      </c>
      <c r="I81" s="237"/>
      <c r="J81" s="238"/>
      <c r="K81" s="234"/>
      <c r="L81" s="216">
        <f t="shared" si="5"/>
        <v>0</v>
      </c>
      <c r="M81" s="745"/>
    </row>
    <row r="82" spans="1:13" ht="15" customHeight="1">
      <c r="A82" s="510">
        <v>77</v>
      </c>
      <c r="B82" s="239"/>
      <c r="C82" s="240"/>
      <c r="D82" s="241"/>
      <c r="E82" s="216">
        <f t="shared" si="4"/>
        <v>0</v>
      </c>
      <c r="F82" s="745"/>
      <c r="G82" s="217"/>
      <c r="H82" s="514">
        <v>77</v>
      </c>
      <c r="I82" s="237"/>
      <c r="J82" s="238"/>
      <c r="K82" s="234"/>
      <c r="L82" s="216">
        <f t="shared" si="5"/>
        <v>0</v>
      </c>
      <c r="M82" s="745"/>
    </row>
    <row r="83" spans="1:13" ht="15" customHeight="1">
      <c r="A83" s="510">
        <v>78</v>
      </c>
      <c r="B83" s="239"/>
      <c r="C83" s="240"/>
      <c r="D83" s="241"/>
      <c r="E83" s="216">
        <f t="shared" si="4"/>
        <v>0</v>
      </c>
      <c r="F83" s="745"/>
      <c r="G83" s="217"/>
      <c r="H83" s="514">
        <v>78</v>
      </c>
      <c r="I83" s="237"/>
      <c r="J83" s="238"/>
      <c r="K83" s="234"/>
      <c r="L83" s="216">
        <f t="shared" si="5"/>
        <v>0</v>
      </c>
      <c r="M83" s="745"/>
    </row>
    <row r="84" spans="1:13" ht="15" customHeight="1">
      <c r="A84" s="510">
        <v>79</v>
      </c>
      <c r="B84" s="239"/>
      <c r="C84" s="240"/>
      <c r="D84" s="241"/>
      <c r="E84" s="216">
        <f t="shared" si="4"/>
        <v>0</v>
      </c>
      <c r="F84" s="745"/>
      <c r="G84" s="217"/>
      <c r="H84" s="514">
        <v>79</v>
      </c>
      <c r="I84" s="237"/>
      <c r="J84" s="238"/>
      <c r="K84" s="234"/>
      <c r="L84" s="216">
        <f t="shared" si="5"/>
        <v>0</v>
      </c>
      <c r="M84" s="745"/>
    </row>
    <row r="85" spans="1:13" ht="15" customHeight="1">
      <c r="A85" s="510">
        <v>80</v>
      </c>
      <c r="B85" s="239"/>
      <c r="C85" s="240"/>
      <c r="D85" s="241"/>
      <c r="E85" s="216">
        <f t="shared" si="4"/>
        <v>0</v>
      </c>
      <c r="F85" s="745"/>
      <c r="G85" s="217"/>
      <c r="H85" s="514">
        <v>80</v>
      </c>
      <c r="I85" s="237"/>
      <c r="J85" s="238"/>
      <c r="K85" s="234"/>
      <c r="L85" s="216">
        <f t="shared" si="5"/>
        <v>0</v>
      </c>
      <c r="M85" s="745"/>
    </row>
    <row r="86" spans="1:13" ht="15" customHeight="1">
      <c r="A86" s="510">
        <v>81</v>
      </c>
      <c r="B86" s="239"/>
      <c r="C86" s="240"/>
      <c r="D86" s="241"/>
      <c r="E86" s="216">
        <f t="shared" si="4"/>
        <v>0</v>
      </c>
      <c r="F86" s="745"/>
      <c r="G86" s="217"/>
      <c r="H86" s="514">
        <v>81</v>
      </c>
      <c r="I86" s="237"/>
      <c r="J86" s="238"/>
      <c r="K86" s="234"/>
      <c r="L86" s="216">
        <f t="shared" si="5"/>
        <v>0</v>
      </c>
      <c r="M86" s="745"/>
    </row>
    <row r="87" spans="1:13" ht="15" customHeight="1">
      <c r="A87" s="510">
        <v>82</v>
      </c>
      <c r="B87" s="239"/>
      <c r="C87" s="240"/>
      <c r="D87" s="241"/>
      <c r="E87" s="216">
        <f t="shared" si="4"/>
        <v>0</v>
      </c>
      <c r="F87" s="745"/>
      <c r="G87" s="217"/>
      <c r="H87" s="514">
        <v>82</v>
      </c>
      <c r="I87" s="237"/>
      <c r="J87" s="238"/>
      <c r="K87" s="234"/>
      <c r="L87" s="216">
        <f t="shared" si="5"/>
        <v>0</v>
      </c>
      <c r="M87" s="745"/>
    </row>
    <row r="88" spans="1:13" ht="15" customHeight="1">
      <c r="A88" s="510">
        <v>83</v>
      </c>
      <c r="B88" s="239"/>
      <c r="C88" s="240"/>
      <c r="D88" s="241"/>
      <c r="E88" s="216">
        <f t="shared" si="4"/>
        <v>0</v>
      </c>
      <c r="F88" s="745"/>
      <c r="G88" s="217"/>
      <c r="H88" s="514">
        <v>83</v>
      </c>
      <c r="I88" s="237"/>
      <c r="J88" s="238"/>
      <c r="K88" s="234"/>
      <c r="L88" s="216">
        <f t="shared" si="5"/>
        <v>0</v>
      </c>
      <c r="M88" s="745"/>
    </row>
    <row r="89" spans="1:13" ht="15" customHeight="1">
      <c r="A89" s="510">
        <v>84</v>
      </c>
      <c r="B89" s="239"/>
      <c r="C89" s="240"/>
      <c r="D89" s="241"/>
      <c r="E89" s="216">
        <f t="shared" si="4"/>
        <v>0</v>
      </c>
      <c r="F89" s="745"/>
      <c r="G89" s="217"/>
      <c r="H89" s="514">
        <v>84</v>
      </c>
      <c r="I89" s="237"/>
      <c r="J89" s="238"/>
      <c r="K89" s="234"/>
      <c r="L89" s="216">
        <f t="shared" si="5"/>
        <v>0</v>
      </c>
      <c r="M89" s="745"/>
    </row>
    <row r="90" spans="1:13" ht="15" customHeight="1">
      <c r="A90" s="510">
        <v>85</v>
      </c>
      <c r="B90" s="239"/>
      <c r="C90" s="240"/>
      <c r="D90" s="241"/>
      <c r="E90" s="216">
        <f t="shared" si="4"/>
        <v>0</v>
      </c>
      <c r="F90" s="745"/>
      <c r="G90" s="217"/>
      <c r="H90" s="514">
        <v>85</v>
      </c>
      <c r="I90" s="237"/>
      <c r="J90" s="238"/>
      <c r="K90" s="234"/>
      <c r="L90" s="216">
        <f t="shared" si="5"/>
        <v>0</v>
      </c>
      <c r="M90" s="745"/>
    </row>
    <row r="91" spans="1:13" ht="15" customHeight="1">
      <c r="A91" s="510">
        <v>86</v>
      </c>
      <c r="B91" s="239"/>
      <c r="C91" s="240"/>
      <c r="D91" s="241"/>
      <c r="E91" s="216">
        <f t="shared" si="4"/>
        <v>0</v>
      </c>
      <c r="F91" s="745"/>
      <c r="G91" s="217"/>
      <c r="H91" s="514">
        <v>86</v>
      </c>
      <c r="I91" s="237"/>
      <c r="J91" s="238"/>
      <c r="K91" s="234"/>
      <c r="L91" s="216">
        <f t="shared" si="5"/>
        <v>0</v>
      </c>
      <c r="M91" s="745"/>
    </row>
    <row r="92" spans="1:13" ht="15" customHeight="1">
      <c r="A92" s="510">
        <v>87</v>
      </c>
      <c r="B92" s="239"/>
      <c r="C92" s="240"/>
      <c r="D92" s="241"/>
      <c r="E92" s="216">
        <f t="shared" si="4"/>
        <v>0</v>
      </c>
      <c r="F92" s="745"/>
      <c r="G92" s="217"/>
      <c r="H92" s="514">
        <v>87</v>
      </c>
      <c r="I92" s="237"/>
      <c r="J92" s="238"/>
      <c r="K92" s="234"/>
      <c r="L92" s="216">
        <f t="shared" si="5"/>
        <v>0</v>
      </c>
      <c r="M92" s="745"/>
    </row>
    <row r="93" spans="1:13" ht="15" customHeight="1">
      <c r="A93" s="510">
        <v>88</v>
      </c>
      <c r="B93" s="239"/>
      <c r="C93" s="240"/>
      <c r="D93" s="241"/>
      <c r="E93" s="216">
        <f t="shared" si="4"/>
        <v>0</v>
      </c>
      <c r="F93" s="745"/>
      <c r="G93" s="217"/>
      <c r="H93" s="514">
        <v>88</v>
      </c>
      <c r="I93" s="237"/>
      <c r="J93" s="238"/>
      <c r="K93" s="234"/>
      <c r="L93" s="216">
        <f t="shared" si="5"/>
        <v>0</v>
      </c>
      <c r="M93" s="745"/>
    </row>
    <row r="94" spans="1:13" ht="15" customHeight="1">
      <c r="A94" s="510">
        <v>89</v>
      </c>
      <c r="B94" s="239"/>
      <c r="C94" s="240"/>
      <c r="D94" s="241"/>
      <c r="E94" s="216">
        <f t="shared" si="4"/>
        <v>0</v>
      </c>
      <c r="F94" s="745"/>
      <c r="G94" s="217"/>
      <c r="H94" s="514">
        <v>89</v>
      </c>
      <c r="I94" s="237"/>
      <c r="J94" s="238"/>
      <c r="K94" s="234"/>
      <c r="L94" s="216">
        <f t="shared" si="5"/>
        <v>0</v>
      </c>
      <c r="M94" s="745"/>
    </row>
    <row r="95" spans="1:13" ht="15" customHeight="1">
      <c r="A95" s="510">
        <v>90</v>
      </c>
      <c r="B95" s="239"/>
      <c r="C95" s="240"/>
      <c r="D95" s="241"/>
      <c r="E95" s="216">
        <f t="shared" si="4"/>
        <v>0</v>
      </c>
      <c r="F95" s="745"/>
      <c r="G95" s="217"/>
      <c r="H95" s="514">
        <v>90</v>
      </c>
      <c r="I95" s="237"/>
      <c r="J95" s="238"/>
      <c r="K95" s="234"/>
      <c r="L95" s="216">
        <f t="shared" si="5"/>
        <v>0</v>
      </c>
      <c r="M95" s="745"/>
    </row>
    <row r="96" spans="1:13" ht="15" customHeight="1">
      <c r="A96" s="510">
        <v>91</v>
      </c>
      <c r="B96" s="239"/>
      <c r="C96" s="240"/>
      <c r="D96" s="241"/>
      <c r="E96" s="216">
        <f t="shared" si="4"/>
        <v>0</v>
      </c>
      <c r="F96" s="745"/>
      <c r="G96" s="217"/>
      <c r="H96" s="514">
        <v>91</v>
      </c>
      <c r="I96" s="237"/>
      <c r="J96" s="238"/>
      <c r="K96" s="234"/>
      <c r="L96" s="216">
        <f t="shared" si="5"/>
        <v>0</v>
      </c>
      <c r="M96" s="745"/>
    </row>
    <row r="97" spans="1:16" ht="15" customHeight="1">
      <c r="A97" s="510">
        <v>92</v>
      </c>
      <c r="B97" s="239"/>
      <c r="C97" s="240"/>
      <c r="D97" s="241"/>
      <c r="E97" s="216">
        <f t="shared" si="4"/>
        <v>0</v>
      </c>
      <c r="F97" s="745"/>
      <c r="G97" s="217"/>
      <c r="H97" s="514">
        <v>92</v>
      </c>
      <c r="I97" s="237"/>
      <c r="J97" s="238"/>
      <c r="K97" s="234"/>
      <c r="L97" s="216">
        <f t="shared" si="5"/>
        <v>0</v>
      </c>
      <c r="M97" s="745"/>
    </row>
    <row r="98" spans="1:16" ht="15" customHeight="1">
      <c r="A98" s="510">
        <v>93</v>
      </c>
      <c r="B98" s="239"/>
      <c r="C98" s="240"/>
      <c r="D98" s="241"/>
      <c r="E98" s="216">
        <f t="shared" si="4"/>
        <v>0</v>
      </c>
      <c r="F98" s="745"/>
      <c r="G98" s="217"/>
      <c r="H98" s="514">
        <v>93</v>
      </c>
      <c r="I98" s="237"/>
      <c r="J98" s="238"/>
      <c r="K98" s="234"/>
      <c r="L98" s="216">
        <f t="shared" si="5"/>
        <v>0</v>
      </c>
      <c r="M98" s="745"/>
    </row>
    <row r="99" spans="1:16" ht="15" customHeight="1">
      <c r="A99" s="510">
        <v>94</v>
      </c>
      <c r="B99" s="242"/>
      <c r="C99" s="243"/>
      <c r="D99" s="244"/>
      <c r="E99" s="218">
        <f t="shared" si="4"/>
        <v>0</v>
      </c>
      <c r="F99" s="745"/>
      <c r="G99" s="217"/>
      <c r="H99" s="514">
        <v>94</v>
      </c>
      <c r="I99" s="245"/>
      <c r="J99" s="246"/>
      <c r="K99" s="247"/>
      <c r="L99" s="218">
        <f t="shared" si="5"/>
        <v>0</v>
      </c>
      <c r="M99" s="745"/>
    </row>
    <row r="100" spans="1:16" ht="12.75" hidden="1" customHeight="1">
      <c r="B100" s="206">
        <f>COUNTIF(E6:E99,"&gt;0")</f>
        <v>0</v>
      </c>
      <c r="C100" s="206">
        <f>MATCH(0,E6:E99,0)-1</f>
        <v>0</v>
      </c>
      <c r="D100" s="206">
        <f>COUNTIFS(E6:E99,"&gt;0",D6:D99,"")</f>
        <v>0</v>
      </c>
      <c r="E100" s="219">
        <v>0.501</v>
      </c>
      <c r="F100" s="207"/>
      <c r="G100" s="207"/>
      <c r="I100" s="206">
        <f>COUNTIF(L6:L99,"&gt;0")</f>
        <v>0</v>
      </c>
      <c r="J100" s="206">
        <f>MATCH(0,L6:L99,0)-1</f>
        <v>0</v>
      </c>
      <c r="K100" s="206">
        <f>COUNTIFS(L6:L99,"&gt;0",K6:K99,"")</f>
        <v>0</v>
      </c>
      <c r="L100" s="219">
        <v>0.29199999999999998</v>
      </c>
    </row>
    <row r="101" spans="1:16" ht="4.9000000000000004" customHeight="1"/>
    <row r="102" spans="1:16">
      <c r="A102" s="509"/>
      <c r="J102" s="456"/>
      <c r="K102" s="457"/>
      <c r="L102" s="518"/>
      <c r="M102" s="220"/>
      <c r="N102" s="220"/>
    </row>
    <row r="103" spans="1:16">
      <c r="A103" s="509"/>
      <c r="J103" s="460"/>
      <c r="K103" s="68"/>
      <c r="L103" s="461"/>
      <c r="M103" s="68"/>
      <c r="N103" s="68"/>
    </row>
    <row r="104" spans="1:16">
      <c r="A104" s="509"/>
      <c r="J104" s="460"/>
      <c r="K104" s="68"/>
      <c r="L104" s="461"/>
      <c r="M104" s="68"/>
      <c r="N104" s="68"/>
    </row>
    <row r="105" spans="1:16">
      <c r="A105" s="509"/>
      <c r="J105" s="460"/>
      <c r="K105" s="68"/>
      <c r="L105" s="461"/>
      <c r="M105" s="68"/>
      <c r="N105" s="68"/>
    </row>
    <row r="106" spans="1:16">
      <c r="A106" s="509"/>
      <c r="J106" s="517"/>
      <c r="K106" s="465"/>
      <c r="L106" s="466"/>
      <c r="M106" s="68"/>
      <c r="N106" s="68"/>
    </row>
    <row r="107" spans="1:16">
      <c r="A107" s="521"/>
      <c r="J107" s="718" t="s">
        <v>19</v>
      </c>
      <c r="K107" s="718"/>
      <c r="L107" s="718"/>
      <c r="M107" s="520"/>
      <c r="N107" s="520"/>
      <c r="O107" s="519"/>
    </row>
    <row r="108" spans="1:16" s="39" customFormat="1" ht="10.9" customHeight="1">
      <c r="A108" s="625" t="s">
        <v>18</v>
      </c>
      <c r="B108" s="625"/>
      <c r="C108" s="627"/>
      <c r="D108" s="627"/>
      <c r="E108" s="627"/>
      <c r="F108" s="627"/>
      <c r="G108" s="627"/>
      <c r="H108" s="633"/>
      <c r="I108" s="633"/>
      <c r="J108" s="634"/>
      <c r="K108" s="634"/>
      <c r="L108" s="634"/>
      <c r="O108" s="207"/>
      <c r="P108" s="207"/>
    </row>
    <row r="109" spans="1:16" s="39" customFormat="1" ht="10.9" customHeight="1">
      <c r="A109" s="629" t="s">
        <v>22</v>
      </c>
      <c r="B109" s="629"/>
      <c r="C109" s="632"/>
      <c r="D109" s="632"/>
      <c r="E109" s="632"/>
      <c r="F109" s="632"/>
      <c r="G109" s="632"/>
      <c r="H109" s="635"/>
      <c r="I109" s="632"/>
      <c r="J109" s="636"/>
      <c r="K109" s="636"/>
      <c r="L109" s="636"/>
      <c r="O109" s="207"/>
      <c r="P109" s="207"/>
    </row>
    <row r="110" spans="1:16" s="39" customFormat="1" ht="10.9" customHeight="1">
      <c r="A110" s="623" t="s">
        <v>23</v>
      </c>
      <c r="B110" s="623"/>
      <c r="C110" s="76"/>
      <c r="D110" s="76"/>
      <c r="E110" s="76"/>
      <c r="F110" s="76"/>
      <c r="G110" s="76"/>
      <c r="H110" s="132"/>
      <c r="I110" s="76"/>
      <c r="O110" s="207"/>
      <c r="P110" s="207"/>
    </row>
    <row r="111" spans="1:16" s="39" customFormat="1" ht="10.9" customHeight="1">
      <c r="A111" s="624" t="s">
        <v>24</v>
      </c>
      <c r="B111" s="624"/>
      <c r="C111" s="76"/>
      <c r="D111" s="76"/>
      <c r="E111" s="76"/>
      <c r="F111" s="76"/>
      <c r="G111" s="76"/>
      <c r="H111" s="132"/>
      <c r="I111" s="76"/>
      <c r="J111" s="76"/>
      <c r="K111" s="76"/>
      <c r="L111" s="76"/>
      <c r="M111" s="221"/>
      <c r="N111" s="130"/>
      <c r="O111" s="207"/>
      <c r="P111" s="207"/>
    </row>
    <row r="112" spans="1:16" s="39" customFormat="1" ht="10.9" customHeight="1">
      <c r="A112" s="623" t="s">
        <v>25</v>
      </c>
      <c r="B112" s="623"/>
      <c r="C112" s="76"/>
      <c r="D112" s="76"/>
      <c r="E112" s="76"/>
      <c r="F112" s="76"/>
      <c r="G112" s="76"/>
      <c r="H112" s="132"/>
      <c r="I112" s="76"/>
      <c r="J112" s="76"/>
      <c r="K112" s="76"/>
      <c r="L112" s="76"/>
      <c r="M112" s="222"/>
      <c r="N112" s="223"/>
      <c r="O112" s="207"/>
      <c r="P112" s="207"/>
    </row>
    <row r="113" spans="1:14" s="39" customFormat="1" ht="10.9" customHeight="1">
      <c r="A113" s="623" t="s">
        <v>26</v>
      </c>
      <c r="B113" s="623"/>
      <c r="C113" s="76"/>
      <c r="D113" s="76"/>
      <c r="E113" s="76"/>
      <c r="F113" s="76"/>
      <c r="G113" s="76"/>
      <c r="H113" s="132"/>
      <c r="I113" s="76"/>
      <c r="J113" s="76"/>
      <c r="K113" s="76"/>
      <c r="L113" s="76"/>
      <c r="M113" s="222"/>
      <c r="N113" s="223"/>
    </row>
    <row r="114" spans="1:14" s="39" customFormat="1" ht="10.9" customHeight="1">
      <c r="A114" s="623" t="s">
        <v>29</v>
      </c>
      <c r="B114" s="623"/>
      <c r="C114" s="78"/>
      <c r="D114" s="78"/>
      <c r="E114" s="78"/>
      <c r="F114" s="76"/>
      <c r="G114" s="76"/>
      <c r="H114" s="132"/>
      <c r="I114" s="76"/>
      <c r="J114" s="76"/>
      <c r="K114" s="76"/>
      <c r="L114" s="76"/>
      <c r="M114" s="222"/>
      <c r="N114" s="223"/>
    </row>
    <row r="115" spans="1:14" s="35" customFormat="1" ht="10.9" customHeight="1">
      <c r="A115" s="623" t="s">
        <v>28</v>
      </c>
      <c r="B115" s="623"/>
      <c r="C115" s="78"/>
      <c r="D115" s="78"/>
      <c r="E115" s="78"/>
      <c r="F115" s="76"/>
      <c r="G115" s="76"/>
      <c r="H115" s="516"/>
      <c r="I115" s="79"/>
      <c r="J115" s="79"/>
      <c r="K115" s="79"/>
      <c r="L115" s="79"/>
      <c r="M115" s="75"/>
      <c r="N115" s="109"/>
    </row>
    <row r="116" spans="1:14" s="225" customFormat="1" ht="10.9" customHeight="1">
      <c r="A116" s="623" t="s">
        <v>27</v>
      </c>
      <c r="B116" s="77"/>
      <c r="C116" s="78"/>
      <c r="D116" s="78"/>
      <c r="E116" s="78"/>
      <c r="F116" s="76"/>
      <c r="G116" s="76"/>
      <c r="H116" s="515"/>
      <c r="I116" s="80"/>
      <c r="J116" s="80"/>
      <c r="K116" s="80"/>
      <c r="L116" s="80"/>
      <c r="M116" s="80"/>
      <c r="N116" s="224"/>
    </row>
    <row r="117" spans="1:14" s="39" customFormat="1" ht="10.9" customHeight="1">
      <c r="A117" s="637"/>
      <c r="B117" s="76"/>
      <c r="C117" s="78"/>
      <c r="D117" s="78"/>
      <c r="E117" s="78"/>
      <c r="F117" s="76"/>
      <c r="G117" s="76"/>
      <c r="H117" s="132"/>
      <c r="I117" s="76"/>
      <c r="J117" s="76"/>
      <c r="K117" s="76"/>
      <c r="L117" s="76"/>
      <c r="M117" s="222"/>
      <c r="N117" s="223"/>
    </row>
    <row r="118" spans="1:14" s="39" customFormat="1">
      <c r="A118" s="714" t="s">
        <v>20</v>
      </c>
      <c r="B118" s="714"/>
      <c r="C118" s="714"/>
      <c r="D118" s="714"/>
      <c r="E118" s="714"/>
      <c r="F118" s="714"/>
      <c r="G118" s="714"/>
      <c r="H118" s="714"/>
      <c r="I118" s="714"/>
      <c r="J118" s="714"/>
      <c r="K118" s="714"/>
      <c r="L118" s="714"/>
      <c r="M118" s="714"/>
      <c r="N118" s="223"/>
    </row>
    <row r="119" spans="1:14" s="39" customFormat="1">
      <c r="A119" s="743" t="s">
        <v>21</v>
      </c>
      <c r="B119" s="743"/>
      <c r="C119" s="743"/>
      <c r="D119" s="743"/>
      <c r="E119" s="743"/>
      <c r="F119" s="743"/>
      <c r="G119" s="743"/>
      <c r="H119" s="743"/>
      <c r="I119" s="743"/>
      <c r="J119" s="743"/>
      <c r="K119" s="743"/>
      <c r="L119" s="743"/>
      <c r="M119" s="743"/>
      <c r="N119" s="223"/>
    </row>
    <row r="120" spans="1:14" s="39" customFormat="1" ht="4.9000000000000004" customHeight="1">
      <c r="A120" s="511"/>
      <c r="C120" s="40"/>
      <c r="D120" s="40"/>
      <c r="E120" s="40"/>
      <c r="H120" s="130"/>
      <c r="M120" s="226"/>
      <c r="N120" s="223"/>
    </row>
    <row r="121" spans="1:14" s="39" customFormat="1" ht="87" customHeight="1">
      <c r="A121" s="744" t="s">
        <v>720</v>
      </c>
      <c r="B121" s="744"/>
      <c r="C121" s="744"/>
      <c r="D121" s="744"/>
      <c r="E121" s="744"/>
      <c r="F121" s="744"/>
      <c r="G121" s="744"/>
      <c r="H121" s="744"/>
      <c r="I121" s="744"/>
      <c r="J121" s="744"/>
      <c r="K121" s="744"/>
      <c r="L121" s="744"/>
      <c r="M121" s="227"/>
      <c r="N121" s="227"/>
    </row>
    <row r="122" spans="1:14" hidden="1"/>
    <row r="123" spans="1:14" hidden="1"/>
    <row r="124" spans="1:14" hidden="1"/>
    <row r="125" spans="1:14" hidden="1"/>
    <row r="126" spans="1:14" hidden="1"/>
    <row r="127" spans="1:14" hidden="1"/>
    <row r="128" spans="1:14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t="8.25" hidden="1" customHeight="1"/>
  </sheetData>
  <sheetProtection password="EF50" sheet="1"/>
  <mergeCells count="6">
    <mergeCell ref="A118:M118"/>
    <mergeCell ref="A119:M119"/>
    <mergeCell ref="A121:L121"/>
    <mergeCell ref="F6:F99"/>
    <mergeCell ref="M6:M99"/>
    <mergeCell ref="J107:L107"/>
  </mergeCells>
  <conditionalFormatting sqref="G4 F6 N4 M6">
    <cfRule type="cellIs" dxfId="4" priority="8" stopIfTrue="1" operator="equal">
      <formula>" ZGODNA."</formula>
    </cfRule>
  </conditionalFormatting>
  <conditionalFormatting sqref="B6:B99 I6:I99">
    <cfRule type="cellIs" dxfId="3" priority="3" stopIfTrue="1" operator="between">
      <formula>1</formula>
      <formula>350</formula>
    </cfRule>
    <cfRule type="cellIs" dxfId="2" priority="4" stopIfTrue="1" operator="greaterThan">
      <formula>8000</formula>
    </cfRule>
  </conditionalFormatting>
  <conditionalFormatting sqref="K6:K99">
    <cfRule type="expression" dxfId="1" priority="2" stopIfTrue="1">
      <formula>AND($L6&lt;&gt;0,$K6="")</formula>
    </cfRule>
  </conditionalFormatting>
  <conditionalFormatting sqref="D6:D99">
    <cfRule type="expression" dxfId="0" priority="1" stopIfTrue="1">
      <formula>AND($E6&lt;&gt;0,$D6="")</formula>
    </cfRule>
  </conditionalFormatting>
  <dataValidations count="1">
    <dataValidation type="list" allowBlank="1" showInputMessage="1" showErrorMessage="1" sqref="D6:D99 K6:K99">
      <formula1>"Tak,Nie"</formula1>
    </dataValidation>
  </dataValidations>
  <pageMargins left="0.23622047244094491" right="0.23622047244094491" top="0.35433070866141736" bottom="0.55118110236220474" header="0.31496062992125984" footer="0.31496062992125984"/>
  <pageSetup paperSize="9" scale="77" fitToHeight="0" orientation="portrait" r:id="rId1"/>
  <headerFooter>
    <oddFooter>&amp;F</oddFooter>
  </headerFooter>
  <rowBreaks count="1" manualBreakCount="1">
    <brk id="5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E477"/>
  <sheetViews>
    <sheetView workbookViewId="0">
      <selection activeCell="V20" sqref="V20"/>
    </sheetView>
  </sheetViews>
  <sheetFormatPr defaultRowHeight="12.75"/>
  <cols>
    <col min="1" max="1" width="6.140625" customWidth="1"/>
    <col min="2" max="2" width="22.85546875" customWidth="1"/>
    <col min="3" max="3" width="10.140625" style="199" customWidth="1"/>
    <col min="4" max="5" width="19.28515625" hidden="1" customWidth="1"/>
    <col min="6" max="6" width="17.28515625" hidden="1" customWidth="1"/>
    <col min="7" max="7" width="10.85546875" customWidth="1"/>
    <col min="8" max="8" width="7.140625" customWidth="1"/>
    <col min="9" max="9" width="22.85546875" customWidth="1"/>
    <col min="10" max="10" width="9.7109375" customWidth="1"/>
    <col min="11" max="11" width="15.28515625" bestFit="1" customWidth="1"/>
    <col min="12" max="12" width="5.5703125" customWidth="1"/>
    <col min="13" max="13" width="14.42578125" customWidth="1"/>
    <col min="14" max="14" width="9" bestFit="1" customWidth="1"/>
    <col min="15" max="15" width="11" bestFit="1" customWidth="1"/>
    <col min="16" max="16" width="18.28515625" customWidth="1"/>
    <col min="17" max="17" width="14.140625" bestFit="1" customWidth="1"/>
    <col min="18" max="18" width="9.7109375" customWidth="1"/>
    <col min="19" max="19" width="18.28515625" bestFit="1" customWidth="1"/>
    <col min="20" max="20" width="16.42578125" customWidth="1"/>
    <col min="21" max="21" width="11.140625" customWidth="1"/>
    <col min="23" max="23" width="54.85546875" hidden="1" customWidth="1"/>
    <col min="24" max="24" width="5.28515625" hidden="1" customWidth="1"/>
    <col min="25" max="25" width="5.42578125" hidden="1" customWidth="1"/>
    <col min="26" max="26" width="20.42578125" hidden="1" customWidth="1"/>
    <col min="27" max="28" width="7.5703125" hidden="1" customWidth="1"/>
    <col min="29" max="29" width="0" hidden="1" customWidth="1"/>
    <col min="30" max="30" width="17.5703125" hidden="1" customWidth="1"/>
    <col min="31" max="31" width="0" hidden="1" customWidth="1"/>
  </cols>
  <sheetData>
    <row r="1" spans="1:31" s="6" customFormat="1" ht="14.25" customHeight="1">
      <c r="A1" s="12"/>
      <c r="B1" s="12" t="s">
        <v>12</v>
      </c>
      <c r="C1" s="12" t="s">
        <v>15</v>
      </c>
      <c r="D1" s="12" t="s">
        <v>86</v>
      </c>
      <c r="E1" s="15" t="s">
        <v>100</v>
      </c>
      <c r="F1" s="31" t="s">
        <v>167</v>
      </c>
      <c r="H1" s="28" t="s">
        <v>103</v>
      </c>
      <c r="I1" s="28" t="s">
        <v>91</v>
      </c>
      <c r="J1" s="29" t="s">
        <v>15</v>
      </c>
      <c r="K1" s="29" t="s">
        <v>10</v>
      </c>
      <c r="L1" s="29" t="s">
        <v>87</v>
      </c>
      <c r="M1" s="29" t="s">
        <v>13</v>
      </c>
      <c r="N1" s="29" t="s">
        <v>11</v>
      </c>
      <c r="O1" s="29" t="s">
        <v>75</v>
      </c>
      <c r="P1" s="29" t="s">
        <v>82</v>
      </c>
      <c r="Q1" s="30" t="s">
        <v>14</v>
      </c>
      <c r="R1" s="29" t="s">
        <v>32</v>
      </c>
      <c r="S1" s="29" t="s">
        <v>88</v>
      </c>
      <c r="T1" s="29" t="s">
        <v>89</v>
      </c>
      <c r="U1" s="12" t="s">
        <v>90</v>
      </c>
      <c r="AC1" s="7"/>
    </row>
    <row r="2" spans="1:31" s="7" customFormat="1" ht="12">
      <c r="A2" s="23">
        <v>1</v>
      </c>
      <c r="B2" s="23" t="str">
        <f>'ZAMÓWIENIE | WYCENA'!C14</f>
        <v>3341-501-_-RPP000</v>
      </c>
      <c r="C2" s="15">
        <f>Specyfikacja!E4</f>
        <v>0</v>
      </c>
      <c r="D2" s="14">
        <f>Specyfikacja!$B$100</f>
        <v>0</v>
      </c>
      <c r="E2" s="15" t="s">
        <v>10</v>
      </c>
      <c r="F2" s="15">
        <f>'Dane podst. zamówienia'!H6</f>
        <v>0</v>
      </c>
      <c r="H2" s="24">
        <v>1</v>
      </c>
      <c r="I2" s="22" t="str">
        <f t="shared" ref="I2:I33" si="0">IFERROR(IF(H2=H1,"",VLOOKUP(H2,$A$2:$B$317,2,0)),"")</f>
        <v>3341-501-_-RPP000</v>
      </c>
      <c r="J2" s="24">
        <f t="shared" ref="J2:J33" si="1">IFERROR(IF(H2=H1,"",VLOOKUP(H2,$A$2:$C$317,3,0)),"")</f>
        <v>0</v>
      </c>
      <c r="K2" s="25">
        <f>IF(H2=H1,"",IF(H2="","",$F$2))</f>
        <v>0</v>
      </c>
      <c r="L2" s="26">
        <f>IF(H2=H1,"",IF(H2="","",$F$3))</f>
        <v>0</v>
      </c>
      <c r="M2" s="26">
        <f>IF(H2=H1,"",IF(H2="","",$F$4))</f>
        <v>0</v>
      </c>
      <c r="N2" s="26" t="str">
        <f>IF(H2=H1,"",IF(H2="","",$F$5))</f>
        <v>SHO</v>
      </c>
      <c r="O2" s="26" t="str">
        <f>IF(H2=H1,"",IF(H2="","",$F$6))</f>
        <v>IPT</v>
      </c>
      <c r="P2" s="25" t="str">
        <f ca="1">IF(H2=H1,"",IF(H2="","",$F$7))</f>
        <v>ND260415_0</v>
      </c>
      <c r="Q2" s="27" t="str">
        <f ca="1">IF(H2=H1,"",IF(H2="","",$F$8))</f>
        <v>2026-04-15</v>
      </c>
      <c r="R2" s="26" t="str">
        <f>IF(H2=H1,"",IF(H2="","",$F$9))</f>
        <v>PLN</v>
      </c>
      <c r="S2" s="23">
        <f>IF(H2=1,VLOOKUP(COUNTIF($H$2:H2,H2),Specyfikacja!$A$5:$D$99,2,0),IF(H2=2,VLOOKUP(COUNTIF($H$2:H2,H2),Specyfikacja!$A$5:$K$99,9,0),""))</f>
        <v>0</v>
      </c>
      <c r="T2" s="23">
        <f>IF(H2=1,VLOOKUP(COUNTIF($H$2:H2,H2),Specyfikacja!$A$5:$D$99,3,0),IF(H2=2,VLOOKUP(COUNTIF($H$2:H2,H2),Specyfikacja!$A$5:$K$99,10,0),""))</f>
        <v>0</v>
      </c>
      <c r="U2" s="23" t="str">
        <f>SUBSTITUTE(SUBSTITUTE(IF(H2=1,VLOOKUP(COUNTIF($H$2:H2,H2),Specyfikacja!$A$5:$D$99,4,0),IF(H2=2,VLOOKUP(COUNTIF($H$2:H2,H2),Specyfikacja!$A$5:$K$99,11,0),"")),"Tak","YES"),"Nie","NO")</f>
        <v/>
      </c>
      <c r="AA2" s="649" t="s">
        <v>685</v>
      </c>
      <c r="AB2" s="649" t="s">
        <v>686</v>
      </c>
      <c r="AC2" s="649" t="s">
        <v>687</v>
      </c>
    </row>
    <row r="3" spans="1:31" s="7" customFormat="1" ht="12">
      <c r="A3" s="23">
        <v>2</v>
      </c>
      <c r="B3" s="23" t="str">
        <f>'ZAMÓWIENIE | WYCENA'!C15</f>
        <v>3341-292-_-RPP000</v>
      </c>
      <c r="C3" s="15">
        <f>Specyfikacja!L4</f>
        <v>0</v>
      </c>
      <c r="D3" s="14">
        <f>Specyfikacja!$I$100</f>
        <v>0</v>
      </c>
      <c r="E3" s="15" t="s">
        <v>87</v>
      </c>
      <c r="F3" s="15">
        <f>'Dane podst. zamówienia'!H9</f>
        <v>0</v>
      </c>
      <c r="H3" s="24">
        <f>IFERROR(IF(COUNTIFS($H$1:H2,H2)&gt;=VLOOKUP(H2,$A$2:$D$309,4,0),IF(H2=MAX($A$2:$A$317),"",Lista!H2+1),H2),"")</f>
        <v>2</v>
      </c>
      <c r="I3" s="22" t="str">
        <f t="shared" si="0"/>
        <v>3341-292-_-RPP000</v>
      </c>
      <c r="J3" s="24">
        <f t="shared" si="1"/>
        <v>0</v>
      </c>
      <c r="K3" s="25">
        <f>IF(H3=H2,"",IF(H3="","",$F$2))</f>
        <v>0</v>
      </c>
      <c r="L3" s="26">
        <f>IF(H3=H2,"",IF(H3="","",$F$3))</f>
        <v>0</v>
      </c>
      <c r="M3" s="26">
        <f>IF(H3=H2,"",IF(H3="","",$F$4))</f>
        <v>0</v>
      </c>
      <c r="N3" s="26" t="str">
        <f>IF(H3=H2,"",IF(H3="","",$F$5))</f>
        <v>SHO</v>
      </c>
      <c r="O3" s="26" t="str">
        <f>IF(H3=H2,"",IF(H3="","",$F$6))</f>
        <v>IPT</v>
      </c>
      <c r="P3" s="25" t="str">
        <f ca="1">IF(H3=H2,"",IF(H3="","",$F$7))</f>
        <v>ND260415_0</v>
      </c>
      <c r="Q3" s="27" t="str">
        <f ca="1">IF(H3=H2,"",IF(H3="","",$F$8))</f>
        <v>2026-04-15</v>
      </c>
      <c r="R3" s="26" t="str">
        <f>IF(H3=H2,"",IF(H3="","",$F$9))</f>
        <v>PLN</v>
      </c>
      <c r="S3" s="23">
        <f>IF(H3=1,VLOOKUP(COUNTIF($H$2:H3,H3),Specyfikacja!$A$5:$D$99,2,0),IF(H3=2,VLOOKUP(COUNTIF($H$2:H3,H3),Specyfikacja!$A$5:$K$99,9,0),""))</f>
        <v>0</v>
      </c>
      <c r="T3" s="23">
        <f>IF(H3=1,VLOOKUP(COUNTIF($H$2:H3,H3),Specyfikacja!$A$5:$D$99,3,0),IF(H3=2,VLOOKUP(COUNTIF($H$2:H3,H3),Specyfikacja!$A$5:$K$99,10,0),""))</f>
        <v>0</v>
      </c>
      <c r="U3" s="23" t="str">
        <f>SUBSTITUTE(SUBSTITUTE(IF(H3=1,VLOOKUP(COUNTIF($H$2:H3,H3),Specyfikacja!$A$5:$D$99,4,0),IF(H3=2,VLOOKUP(COUNTIF($H$2:H3,H3),Specyfikacja!$A$5:$K$99,11,0),"")),"Tak","YES"),"Nie","NO")</f>
        <v/>
      </c>
      <c r="W3" s="644"/>
      <c r="X3" s="644" t="s">
        <v>786</v>
      </c>
      <c r="Y3" s="644" t="s">
        <v>787</v>
      </c>
      <c r="Z3" s="644"/>
      <c r="AA3" s="644" t="s">
        <v>79</v>
      </c>
      <c r="AB3" s="644" t="s">
        <v>170</v>
      </c>
      <c r="AC3" s="644" t="s">
        <v>685</v>
      </c>
      <c r="AD3" s="644" t="s">
        <v>788</v>
      </c>
      <c r="AE3" s="645" t="s">
        <v>789</v>
      </c>
    </row>
    <row r="4" spans="1:31" s="7" customFormat="1" ht="12">
      <c r="A4" s="23">
        <v>3</v>
      </c>
      <c r="B4" s="23" t="str">
        <f>SUBSTITUTE('ZAMÓWIENIE | WYCENA'!C21,"_",'ZAMÓWIENIE | WYCENA'!$H$13,1)</f>
        <v>3351-501-716R-MPP200</v>
      </c>
      <c r="C4" s="15">
        <f>'ZAMÓWIENIE | WYCENA'!H21</f>
        <v>0</v>
      </c>
      <c r="D4" s="14">
        <v>1</v>
      </c>
      <c r="E4" s="15" t="s">
        <v>13</v>
      </c>
      <c r="F4" s="15">
        <f>'Dane podst. zamówienia'!H7</f>
        <v>0</v>
      </c>
      <c r="G4" s="23"/>
      <c r="H4" s="24">
        <f>IFERROR(IF(COUNTIFS($H$1:H3,H3)&gt;=VLOOKUP(H3,$A$2:$D$309,4,0),IF(H3=MAX($A$2:$A$317),"",Lista!H3+1),H3),"")</f>
        <v>3</v>
      </c>
      <c r="I4" s="22" t="str">
        <f t="shared" si="0"/>
        <v>3351-501-716R-MPP200</v>
      </c>
      <c r="J4" s="24">
        <f t="shared" si="1"/>
        <v>0</v>
      </c>
      <c r="K4" s="25">
        <f t="shared" ref="K4:K15" si="2">IF(H4=H3,"",IF(H4="","",$F$2))</f>
        <v>0</v>
      </c>
      <c r="L4" s="26">
        <f t="shared" ref="L4:L15" si="3">IF(H4=H3,"",IF(H4="","",$F$3))</f>
        <v>0</v>
      </c>
      <c r="M4" s="26">
        <f t="shared" ref="M4:M67" si="4">IF(H4=H3,"",IF(H4="","",$F$4))</f>
        <v>0</v>
      </c>
      <c r="N4" s="26" t="str">
        <f t="shared" ref="N4:N67" si="5">IF(H4=H3,"",IF(H4="","",$F$5))</f>
        <v>SHO</v>
      </c>
      <c r="O4" s="26" t="str">
        <f t="shared" ref="O4:O67" si="6">IF(H4=H3,"",IF(H4="","",$F$6))</f>
        <v>IPT</v>
      </c>
      <c r="P4" s="25" t="str">
        <f t="shared" ref="P4:P67" ca="1" si="7">IF(H4=H3,"",IF(H4="","",$F$7))</f>
        <v>ND260415_0</v>
      </c>
      <c r="Q4" s="27" t="str">
        <f t="shared" ref="Q4:Q15" ca="1" si="8">IF(H4=H3,"",IF(H4="","",$F$8))</f>
        <v>2026-04-15</v>
      </c>
      <c r="R4" s="26" t="str">
        <f t="shared" ref="R4:R15" si="9">IF(H4=H3,"",IF(H4="","",$F$9))</f>
        <v>PLN</v>
      </c>
      <c r="S4" s="23" t="str">
        <f>IF(H4=1,VLOOKUP(COUNTIF($H$2:H4,H4),Specyfikacja!$A$5:$D$99,2,0),IF(H4=2,VLOOKUP(COUNTIF($H$2:H4,H4),Specyfikacja!$A$5:$K$99,9,0),""))</f>
        <v/>
      </c>
      <c r="T4" s="23" t="str">
        <f>IF(H4=1,VLOOKUP(COUNTIF($H$2:H4,H4),Specyfikacja!$A$5:$D$99,3,0),IF(H4=2,VLOOKUP(COUNTIF($H$2:H4,H4),Specyfikacja!$A$5:$K$99,10,0),""))</f>
        <v/>
      </c>
      <c r="U4" s="23" t="str">
        <f>SUBSTITUTE(SUBSTITUTE(IF(H4=1,VLOOKUP(COUNTIF($H$2:H4,H4),Specyfikacja!$A$5:$D$99,4,0),IF(H4=2,VLOOKUP(COUNTIF($H$2:H4,H4),Specyfikacja!$A$5:$K$99,11,0),"")),"Tak","YES"),"Nie","NO")</f>
        <v/>
      </c>
      <c r="V4" s="25"/>
      <c r="W4" s="646" t="str">
        <f ca="1">_xlfn.FORMULATEXT(B4)</f>
        <v>=PODSTAW('ZAMÓWIENIE | WYCENA'!C21;"_";'ZAMÓWIENIE | WYCENA'!$H$13;1)</v>
      </c>
      <c r="X4" s="646">
        <f ca="1">FIND("'",W4)</f>
        <v>10</v>
      </c>
      <c r="Y4" s="646">
        <f ca="1">FIND(";",W4)</f>
        <v>35</v>
      </c>
      <c r="Z4" s="646" t="str">
        <f ca="1">MID(W4,X4,Y4-X4)</f>
        <v>'ZAMÓWIENIE | WYCENA'!C21</v>
      </c>
      <c r="AA4" s="647">
        <f ca="1">INDIRECT(SUBSTITUTE($Z4,"'!C","'!"&amp;AA$3))</f>
        <v>0</v>
      </c>
      <c r="AB4" s="647">
        <f ca="1">INDIRECT(SUBSTITUTE($Z4,"'!C","'!"&amp;AB$3))</f>
        <v>67.900000000000006</v>
      </c>
      <c r="AC4" s="647">
        <f ca="1">INDIRECT(SUBSTITUTE($Z4,"'!C","'!"&amp;AC$3))</f>
        <v>86.1</v>
      </c>
      <c r="AD4" s="646" t="str">
        <f>B4</f>
        <v>3351-501-716R-MPP200</v>
      </c>
      <c r="AE4" s="648">
        <f ca="1">LARGE(AA4:AC4,2)</f>
        <v>67.900000000000006</v>
      </c>
    </row>
    <row r="5" spans="1:31" s="7" customFormat="1" ht="12">
      <c r="A5" s="23">
        <v>4</v>
      </c>
      <c r="B5" s="23" t="str">
        <f>SUBSTITUTE('ZAMÓWIENIE | WYCENA'!C22,"_",'ZAMÓWIENIE | WYCENA'!$H$13,1)</f>
        <v>3351-501-716R-MPP100</v>
      </c>
      <c r="C5" s="15">
        <f>'ZAMÓWIENIE | WYCENA'!H22</f>
        <v>0</v>
      </c>
      <c r="D5" s="14">
        <v>1</v>
      </c>
      <c r="E5" s="15" t="s">
        <v>11</v>
      </c>
      <c r="F5" s="15" t="str">
        <f>'Dane podst. zamówienia'!H8</f>
        <v>SHO</v>
      </c>
      <c r="G5" s="23"/>
      <c r="H5" s="24">
        <f>IFERROR(IF(COUNTIFS($H$1:H4,H4)&gt;=VLOOKUP(H4,$A$2:$D$309,4,0),IF(H4=MAX($A$2:$A$317),"",Lista!H4+1),H4),"")</f>
        <v>4</v>
      </c>
      <c r="I5" s="22" t="str">
        <f t="shared" si="0"/>
        <v>3351-501-716R-MPP100</v>
      </c>
      <c r="J5" s="24">
        <f t="shared" si="1"/>
        <v>0</v>
      </c>
      <c r="K5" s="25">
        <f t="shared" si="2"/>
        <v>0</v>
      </c>
      <c r="L5" s="26">
        <f t="shared" si="3"/>
        <v>0</v>
      </c>
      <c r="M5" s="26">
        <f t="shared" si="4"/>
        <v>0</v>
      </c>
      <c r="N5" s="26" t="str">
        <f t="shared" si="5"/>
        <v>SHO</v>
      </c>
      <c r="O5" s="26" t="str">
        <f t="shared" si="6"/>
        <v>IPT</v>
      </c>
      <c r="P5" s="25" t="str">
        <f t="shared" ca="1" si="7"/>
        <v>ND260415_0</v>
      </c>
      <c r="Q5" s="27" t="str">
        <f t="shared" ca="1" si="8"/>
        <v>2026-04-15</v>
      </c>
      <c r="R5" s="26" t="str">
        <f t="shared" si="9"/>
        <v>PLN</v>
      </c>
      <c r="S5" s="23" t="str">
        <f>IF(H5=1,VLOOKUP(COUNTIF($H$2:H5,H5),Specyfikacja!$A$5:$D$99,2,0),IF(H5=2,VLOOKUP(COUNTIF($H$2:H5,H5),Specyfikacja!$A$5:$K$99,9,0),""))</f>
        <v/>
      </c>
      <c r="T5" s="23" t="str">
        <f>IF(H5=1,VLOOKUP(COUNTIF($H$2:H5,H5),Specyfikacja!$A$5:$D$99,3,0),IF(H5=2,VLOOKUP(COUNTIF($H$2:H5,H5),Specyfikacja!$A$5:$K$99,10,0),""))</f>
        <v/>
      </c>
      <c r="U5" s="23" t="str">
        <f>SUBSTITUTE(SUBSTITUTE(IF(H5=1,VLOOKUP(COUNTIF($H$2:H5,H5),Specyfikacja!$A$5:$D$99,4,0),IF(H5=2,VLOOKUP(COUNTIF($H$2:H5,H5),Specyfikacja!$A$5:$K$99,11,0),"")),"Tak","YES"),"Nie","NO")</f>
        <v/>
      </c>
      <c r="V5" s="25"/>
      <c r="W5" s="646" t="str">
        <f t="shared" ref="W5:W37" ca="1" si="10">_xlfn.FORMULATEXT(B5)</f>
        <v>=PODSTAW('ZAMÓWIENIE | WYCENA'!C22;"_";'ZAMÓWIENIE | WYCENA'!$H$13;1)</v>
      </c>
      <c r="X5" s="646">
        <f t="shared" ref="X5:X68" ca="1" si="11">FIND("'",W5)</f>
        <v>10</v>
      </c>
      <c r="Y5" s="646">
        <f t="shared" ref="Y5:Y37" ca="1" si="12">FIND(";",W5)</f>
        <v>35</v>
      </c>
      <c r="Z5" s="646" t="str">
        <f t="shared" ref="Z5:Z37" ca="1" si="13">MID(W5,X5,Y5-X5)</f>
        <v>'ZAMÓWIENIE | WYCENA'!C22</v>
      </c>
      <c r="AA5" s="647">
        <f t="shared" ref="AA5:AC40" ca="1" si="14">INDIRECT(SUBSTITUTE($Z5,"'!C","'!"&amp;AA$3))</f>
        <v>0</v>
      </c>
      <c r="AB5" s="647">
        <f t="shared" ca="1" si="14"/>
        <v>37.4</v>
      </c>
      <c r="AC5" s="647">
        <f t="shared" ca="1" si="14"/>
        <v>47.5</v>
      </c>
      <c r="AD5" s="646" t="str">
        <f t="shared" ref="AD5:AD37" si="15">B5</f>
        <v>3351-501-716R-MPP100</v>
      </c>
      <c r="AE5" s="648">
        <f t="shared" ref="AE5:AE48" ca="1" si="16">LARGE(AA5:AC5,2)</f>
        <v>37.4</v>
      </c>
    </row>
    <row r="6" spans="1:31" s="7" customFormat="1" ht="12">
      <c r="A6" s="23">
        <v>5</v>
      </c>
      <c r="B6" s="23" t="str">
        <f>SUBSTITUTE('ZAMÓWIENIE | WYCENA'!C23,"_",'ZAMÓWIENIE | WYCENA'!$H$13,1)</f>
        <v>3351-501-716R-SPP200</v>
      </c>
      <c r="C6" s="15">
        <f>'ZAMÓWIENIE | WYCENA'!H23</f>
        <v>0</v>
      </c>
      <c r="D6" s="14">
        <v>1</v>
      </c>
      <c r="E6" s="15" t="s">
        <v>75</v>
      </c>
      <c r="F6" s="15" t="str">
        <f>VLOOKUP('Dane podst. zamówienia'!H11,Szacunek!$U$2:$V$3,2,0)</f>
        <v>IPT</v>
      </c>
      <c r="G6" s="23"/>
      <c r="H6" s="24">
        <f>IFERROR(IF(COUNTIFS($H$1:H5,H5)&gt;=VLOOKUP(H5,$A$2:$D$309,4,0),IF(H5=MAX($A$2:$A$317),"",Lista!H5+1),H5),"")</f>
        <v>5</v>
      </c>
      <c r="I6" s="22" t="str">
        <f t="shared" si="0"/>
        <v>3351-501-716R-SPP200</v>
      </c>
      <c r="J6" s="24">
        <f t="shared" si="1"/>
        <v>0</v>
      </c>
      <c r="K6" s="25">
        <f t="shared" si="2"/>
        <v>0</v>
      </c>
      <c r="L6" s="26">
        <f t="shared" si="3"/>
        <v>0</v>
      </c>
      <c r="M6" s="26">
        <f t="shared" si="4"/>
        <v>0</v>
      </c>
      <c r="N6" s="26" t="str">
        <f t="shared" si="5"/>
        <v>SHO</v>
      </c>
      <c r="O6" s="26" t="str">
        <f t="shared" si="6"/>
        <v>IPT</v>
      </c>
      <c r="P6" s="25" t="str">
        <f t="shared" ca="1" si="7"/>
        <v>ND260415_0</v>
      </c>
      <c r="Q6" s="27" t="str">
        <f t="shared" ca="1" si="8"/>
        <v>2026-04-15</v>
      </c>
      <c r="R6" s="26" t="str">
        <f t="shared" si="9"/>
        <v>PLN</v>
      </c>
      <c r="S6" s="23" t="str">
        <f>IF(H6=1,VLOOKUP(COUNTIF($H$2:H6,H6),Specyfikacja!$A$5:$D$99,2,0),IF(H6=2,VLOOKUP(COUNTIF($H$2:H6,H6),Specyfikacja!$A$5:$K$99,9,0),""))</f>
        <v/>
      </c>
      <c r="T6" s="23" t="str">
        <f>IF(H6=1,VLOOKUP(COUNTIF($H$2:H6,H6),Specyfikacja!$A$5:$D$99,3,0),IF(H6=2,VLOOKUP(COUNTIF($H$2:H6,H6),Specyfikacja!$A$5:$K$99,10,0),""))</f>
        <v/>
      </c>
      <c r="U6" s="23" t="str">
        <f>SUBSTITUTE(SUBSTITUTE(IF(H6=1,VLOOKUP(COUNTIF($H$2:H6,H6),Specyfikacja!$A$5:$D$99,4,0),IF(H6=2,VLOOKUP(COUNTIF($H$2:H6,H6),Specyfikacja!$A$5:$K$99,11,0),"")),"Tak","YES"),"Nie","NO")</f>
        <v/>
      </c>
      <c r="V6" s="25"/>
      <c r="W6" s="646" t="str">
        <f t="shared" ca="1" si="10"/>
        <v>=PODSTAW('ZAMÓWIENIE | WYCENA'!C23;"_";'ZAMÓWIENIE | WYCENA'!$H$13;1)</v>
      </c>
      <c r="X6" s="646">
        <f t="shared" ca="1" si="11"/>
        <v>10</v>
      </c>
      <c r="Y6" s="646">
        <f t="shared" ca="1" si="12"/>
        <v>35</v>
      </c>
      <c r="Z6" s="646" t="str">
        <f t="shared" ca="1" si="13"/>
        <v>'ZAMÓWIENIE | WYCENA'!C23</v>
      </c>
      <c r="AA6" s="647">
        <f t="shared" ca="1" si="14"/>
        <v>0</v>
      </c>
      <c r="AB6" s="647">
        <f t="shared" ca="1" si="14"/>
        <v>67.900000000000006</v>
      </c>
      <c r="AC6" s="647">
        <f t="shared" ca="1" si="14"/>
        <v>86.1</v>
      </c>
      <c r="AD6" s="646" t="str">
        <f t="shared" si="15"/>
        <v>3351-501-716R-SPP200</v>
      </c>
      <c r="AE6" s="648">
        <f t="shared" ca="1" si="16"/>
        <v>67.900000000000006</v>
      </c>
    </row>
    <row r="7" spans="1:31" s="7" customFormat="1" ht="12">
      <c r="A7" s="23">
        <v>6</v>
      </c>
      <c r="B7" s="23" t="str">
        <f>SUBSTITUTE('ZAMÓWIENIE | WYCENA'!C24,"_",'ZAMÓWIENIE | WYCENA'!$H$13,1)</f>
        <v>3351-501-716R-SPP100</v>
      </c>
      <c r="C7" s="15">
        <f>'ZAMÓWIENIE | WYCENA'!H24</f>
        <v>0</v>
      </c>
      <c r="D7" s="14">
        <v>1</v>
      </c>
      <c r="E7" s="15" t="s">
        <v>82</v>
      </c>
      <c r="F7" s="16" t="str">
        <f ca="1">IF('Dane podst. zamówienia'!D3&lt;&gt;"",'Dane podst. zamówienia'!D3,IF('Dane podst. zamówienia'!H9="","ND",'Dane podst. zamówienia'!H9)&amp;TEXT('Dane podst. zamówienia'!D11,"RRMMDD")&amp;"_"&amp;TEXT(TRUNC(VALUE(SUBSTITUTE(Lista!B234, " ", ""))), "0"))</f>
        <v>ND260415_0</v>
      </c>
      <c r="G7" s="23"/>
      <c r="H7" s="24">
        <f>IFERROR(IF(COUNTIFS($H$1:H6,H6)&gt;=VLOOKUP(H6,$A$2:$D$309,4,0),IF(H6=MAX($A$2:$A$317),"",Lista!H6+1),H6),"")</f>
        <v>6</v>
      </c>
      <c r="I7" s="22" t="str">
        <f t="shared" si="0"/>
        <v>3351-501-716R-SPP100</v>
      </c>
      <c r="J7" s="24">
        <f t="shared" si="1"/>
        <v>0</v>
      </c>
      <c r="K7" s="25">
        <f t="shared" si="2"/>
        <v>0</v>
      </c>
      <c r="L7" s="26">
        <f t="shared" si="3"/>
        <v>0</v>
      </c>
      <c r="M7" s="26">
        <f t="shared" si="4"/>
        <v>0</v>
      </c>
      <c r="N7" s="26" t="str">
        <f t="shared" si="5"/>
        <v>SHO</v>
      </c>
      <c r="O7" s="26" t="str">
        <f t="shared" si="6"/>
        <v>IPT</v>
      </c>
      <c r="P7" s="25" t="str">
        <f t="shared" ca="1" si="7"/>
        <v>ND260415_0</v>
      </c>
      <c r="Q7" s="27" t="str">
        <f t="shared" ca="1" si="8"/>
        <v>2026-04-15</v>
      </c>
      <c r="R7" s="26" t="str">
        <f t="shared" si="9"/>
        <v>PLN</v>
      </c>
      <c r="S7" s="23" t="str">
        <f>IF(H7=1,VLOOKUP(COUNTIF($H$2:H7,H7),Specyfikacja!$A$5:$D$99,2,0),IF(H7=2,VLOOKUP(COUNTIF($H$2:H7,H7),Specyfikacja!$A$5:$K$99,9,0),""))</f>
        <v/>
      </c>
      <c r="T7" s="23" t="str">
        <f>IF(H7=1,VLOOKUP(COUNTIF($H$2:H7,H7),Specyfikacja!$A$5:$D$99,3,0),IF(H7=2,VLOOKUP(COUNTIF($H$2:H7,H7),Specyfikacja!$A$5:$K$99,10,0),""))</f>
        <v/>
      </c>
      <c r="U7" s="23" t="str">
        <f>SUBSTITUTE(SUBSTITUTE(IF(H7=1,VLOOKUP(COUNTIF($H$2:H7,H7),Specyfikacja!$A$5:$D$99,4,0),IF(H7=2,VLOOKUP(COUNTIF($H$2:H7,H7),Specyfikacja!$A$5:$K$99,11,0),"")),"Tak","YES"),"Nie","NO")</f>
        <v/>
      </c>
      <c r="V7" s="25"/>
      <c r="W7" s="646" t="str">
        <f t="shared" ca="1" si="10"/>
        <v>=PODSTAW('ZAMÓWIENIE | WYCENA'!C24;"_";'ZAMÓWIENIE | WYCENA'!$H$13;1)</v>
      </c>
      <c r="X7" s="646">
        <f t="shared" ca="1" si="11"/>
        <v>10</v>
      </c>
      <c r="Y7" s="646">
        <f t="shared" ca="1" si="12"/>
        <v>35</v>
      </c>
      <c r="Z7" s="646" t="str">
        <f t="shared" ca="1" si="13"/>
        <v>'ZAMÓWIENIE | WYCENA'!C24</v>
      </c>
      <c r="AA7" s="647">
        <f t="shared" ca="1" si="14"/>
        <v>0</v>
      </c>
      <c r="AB7" s="647">
        <f t="shared" ca="1" si="14"/>
        <v>37.4</v>
      </c>
      <c r="AC7" s="647">
        <f t="shared" ca="1" si="14"/>
        <v>47.5</v>
      </c>
      <c r="AD7" s="646" t="str">
        <f t="shared" si="15"/>
        <v>3351-501-716R-SPP100</v>
      </c>
      <c r="AE7" s="648">
        <f t="shared" ca="1" si="16"/>
        <v>37.4</v>
      </c>
    </row>
    <row r="8" spans="1:31" s="7" customFormat="1" ht="12">
      <c r="A8" s="23">
        <v>7</v>
      </c>
      <c r="B8" s="23" t="str">
        <f>SUBSTITUTE('ZAMÓWIENIE | WYCENA'!C21,"_",'ZAMÓWIENIE | WYCENA'!$I$13,1)</f>
        <v>3351-501-905R-MPP200</v>
      </c>
      <c r="C8" s="15">
        <f>'ZAMÓWIENIE | WYCENA'!I21</f>
        <v>0</v>
      </c>
      <c r="D8" s="14">
        <v>1</v>
      </c>
      <c r="E8" s="15" t="s">
        <v>14</v>
      </c>
      <c r="F8" s="20" t="str">
        <f ca="1">'Dane podst. zamówienia'!D11</f>
        <v>2026-04-15</v>
      </c>
      <c r="H8" s="24">
        <f>IFERROR(IF(COUNTIFS($H$1:H7,H7)&gt;=VLOOKUP(H7,$A$2:$D$309,4,0),IF(H7=MAX($A$2:$A$317),"",Lista!H7+1),H7),"")</f>
        <v>7</v>
      </c>
      <c r="I8" s="22" t="str">
        <f t="shared" si="0"/>
        <v>3351-501-905R-MPP200</v>
      </c>
      <c r="J8" s="24">
        <f t="shared" si="1"/>
        <v>0</v>
      </c>
      <c r="K8" s="25">
        <f t="shared" si="2"/>
        <v>0</v>
      </c>
      <c r="L8" s="26">
        <f t="shared" si="3"/>
        <v>0</v>
      </c>
      <c r="M8" s="26">
        <f t="shared" si="4"/>
        <v>0</v>
      </c>
      <c r="N8" s="26" t="str">
        <f t="shared" si="5"/>
        <v>SHO</v>
      </c>
      <c r="O8" s="26" t="str">
        <f t="shared" si="6"/>
        <v>IPT</v>
      </c>
      <c r="P8" s="25" t="str">
        <f t="shared" ca="1" si="7"/>
        <v>ND260415_0</v>
      </c>
      <c r="Q8" s="27" t="str">
        <f t="shared" ca="1" si="8"/>
        <v>2026-04-15</v>
      </c>
      <c r="R8" s="26" t="str">
        <f t="shared" si="9"/>
        <v>PLN</v>
      </c>
      <c r="S8" s="23" t="str">
        <f>IF(H8=1,VLOOKUP(COUNTIF($H$2:H8,H8),Specyfikacja!$A$5:$D$99,2,0),IF(H8=2,VLOOKUP(COUNTIF($H$2:H8,H8),Specyfikacja!$A$5:$K$99,9,0),""))</f>
        <v/>
      </c>
      <c r="T8" s="23" t="str">
        <f>IF(H8=1,VLOOKUP(COUNTIF($H$2:H8,H8),Specyfikacja!$A$5:$D$99,3,0),IF(H8=2,VLOOKUP(COUNTIF($H$2:H8,H8),Specyfikacja!$A$5:$K$99,10,0),""))</f>
        <v/>
      </c>
      <c r="U8" s="23" t="str">
        <f>SUBSTITUTE(SUBSTITUTE(IF(H8=1,VLOOKUP(COUNTIF($H$2:H8,H8),Specyfikacja!$A$5:$D$99,4,0),IF(H8=2,VLOOKUP(COUNTIF($H$2:H8,H8),Specyfikacja!$A$5:$K$99,11,0),"")),"Tak","YES"),"Nie","NO")</f>
        <v/>
      </c>
      <c r="W8" s="646" t="str">
        <f t="shared" ca="1" si="10"/>
        <v>=PODSTAW('ZAMÓWIENIE | WYCENA'!C21;"_";'ZAMÓWIENIE | WYCENA'!$I$13;1)</v>
      </c>
      <c r="X8" s="646">
        <f t="shared" ca="1" si="11"/>
        <v>10</v>
      </c>
      <c r="Y8" s="646">
        <f t="shared" ca="1" si="12"/>
        <v>35</v>
      </c>
      <c r="Z8" s="646" t="str">
        <f t="shared" ca="1" si="13"/>
        <v>'ZAMÓWIENIE | WYCENA'!C21</v>
      </c>
      <c r="AA8" s="647">
        <f t="shared" ca="1" si="14"/>
        <v>0</v>
      </c>
      <c r="AB8" s="647">
        <f t="shared" ca="1" si="14"/>
        <v>67.900000000000006</v>
      </c>
      <c r="AC8" s="647">
        <f t="shared" ca="1" si="14"/>
        <v>86.1</v>
      </c>
      <c r="AD8" s="646" t="str">
        <f t="shared" si="15"/>
        <v>3351-501-905R-MPP200</v>
      </c>
      <c r="AE8" s="648">
        <f t="shared" ca="1" si="16"/>
        <v>67.900000000000006</v>
      </c>
    </row>
    <row r="9" spans="1:31" s="7" customFormat="1" ht="12">
      <c r="A9" s="23">
        <v>8</v>
      </c>
      <c r="B9" s="23" t="str">
        <f>SUBSTITUTE('ZAMÓWIENIE | WYCENA'!C22,"_",'ZAMÓWIENIE | WYCENA'!$I$13,1)</f>
        <v>3351-501-905R-MPP100</v>
      </c>
      <c r="C9" s="15">
        <f>'ZAMÓWIENIE | WYCENA'!I22</f>
        <v>0</v>
      </c>
      <c r="D9" s="14">
        <v>1</v>
      </c>
      <c r="E9" s="15" t="s">
        <v>32</v>
      </c>
      <c r="F9" s="15" t="str">
        <f>'Dane podst. zamówienia'!H10</f>
        <v>PLN</v>
      </c>
      <c r="H9" s="24">
        <f>IFERROR(IF(COUNTIFS($H$1:H8,H8)&gt;=VLOOKUP(H8,$A$2:$D$309,4,0),IF(H8=MAX($A$2:$A$317),"",Lista!H8+1),H8),"")</f>
        <v>8</v>
      </c>
      <c r="I9" s="22" t="str">
        <f t="shared" si="0"/>
        <v>3351-501-905R-MPP100</v>
      </c>
      <c r="J9" s="24">
        <f t="shared" si="1"/>
        <v>0</v>
      </c>
      <c r="K9" s="25">
        <f t="shared" si="2"/>
        <v>0</v>
      </c>
      <c r="L9" s="26">
        <f t="shared" si="3"/>
        <v>0</v>
      </c>
      <c r="M9" s="26">
        <f t="shared" si="4"/>
        <v>0</v>
      </c>
      <c r="N9" s="26" t="str">
        <f t="shared" si="5"/>
        <v>SHO</v>
      </c>
      <c r="O9" s="26" t="str">
        <f t="shared" si="6"/>
        <v>IPT</v>
      </c>
      <c r="P9" s="25" t="str">
        <f t="shared" ca="1" si="7"/>
        <v>ND260415_0</v>
      </c>
      <c r="Q9" s="27" t="str">
        <f t="shared" ca="1" si="8"/>
        <v>2026-04-15</v>
      </c>
      <c r="R9" s="26" t="str">
        <f t="shared" si="9"/>
        <v>PLN</v>
      </c>
      <c r="S9" s="23" t="str">
        <f>IF(H9=1,VLOOKUP(COUNTIF($H$2:H9,H9),Specyfikacja!$A$5:$D$99,2,0),IF(H9=2,VLOOKUP(COUNTIF($H$2:H9,H9),Specyfikacja!$A$5:$K$99,9,0),""))</f>
        <v/>
      </c>
      <c r="T9" s="23" t="str">
        <f>IF(H9=1,VLOOKUP(COUNTIF($H$2:H9,H9),Specyfikacja!$A$5:$D$99,3,0),IF(H9=2,VLOOKUP(COUNTIF($H$2:H9,H9),Specyfikacja!$A$5:$K$99,10,0),""))</f>
        <v/>
      </c>
      <c r="U9" s="23" t="str">
        <f>SUBSTITUTE(SUBSTITUTE(IF(H9=1,VLOOKUP(COUNTIF($H$2:H9,H9),Specyfikacja!$A$5:$D$99,4,0),IF(H9=2,VLOOKUP(COUNTIF($H$2:H9,H9),Specyfikacja!$A$5:$K$99,11,0),"")),"Tak","YES"),"Nie","NO")</f>
        <v/>
      </c>
      <c r="W9" s="646" t="str">
        <f t="shared" ca="1" si="10"/>
        <v>=PODSTAW('ZAMÓWIENIE | WYCENA'!C22;"_";'ZAMÓWIENIE | WYCENA'!$I$13;1)</v>
      </c>
      <c r="X9" s="646">
        <f t="shared" ca="1" si="11"/>
        <v>10</v>
      </c>
      <c r="Y9" s="646">
        <f t="shared" ca="1" si="12"/>
        <v>35</v>
      </c>
      <c r="Z9" s="646" t="str">
        <f t="shared" ca="1" si="13"/>
        <v>'ZAMÓWIENIE | WYCENA'!C22</v>
      </c>
      <c r="AA9" s="647">
        <f t="shared" ca="1" si="14"/>
        <v>0</v>
      </c>
      <c r="AB9" s="647">
        <f t="shared" ca="1" si="14"/>
        <v>37.4</v>
      </c>
      <c r="AC9" s="647">
        <f t="shared" ca="1" si="14"/>
        <v>47.5</v>
      </c>
      <c r="AD9" s="646" t="str">
        <f t="shared" si="15"/>
        <v>3351-501-905R-MPP100</v>
      </c>
      <c r="AE9" s="648">
        <f t="shared" ca="1" si="16"/>
        <v>37.4</v>
      </c>
    </row>
    <row r="10" spans="1:31" s="7" customFormat="1" ht="12">
      <c r="A10" s="23">
        <v>9</v>
      </c>
      <c r="B10" s="23" t="str">
        <f>SUBSTITUTE('ZAMÓWIENIE | WYCENA'!C23,"_",'ZAMÓWIENIE | WYCENA'!$I$13,1)</f>
        <v>3351-501-905R-SPP200</v>
      </c>
      <c r="C10" s="15">
        <f>'ZAMÓWIENIE | WYCENA'!I23</f>
        <v>0</v>
      </c>
      <c r="D10" s="14">
        <v>1</v>
      </c>
      <c r="F10" s="16"/>
      <c r="G10" s="16"/>
      <c r="H10" s="24">
        <f>IFERROR(IF(COUNTIFS($H$1:H9,H9)&gt;=VLOOKUP(H9,$A$2:$D$309,4,0),IF(H9=MAX($A$2:$A$317),"",Lista!H9+1),H9),"")</f>
        <v>9</v>
      </c>
      <c r="I10" s="22" t="str">
        <f t="shared" si="0"/>
        <v>3351-501-905R-SPP200</v>
      </c>
      <c r="J10" s="24">
        <f t="shared" si="1"/>
        <v>0</v>
      </c>
      <c r="K10" s="25">
        <f t="shared" si="2"/>
        <v>0</v>
      </c>
      <c r="L10" s="26">
        <f t="shared" si="3"/>
        <v>0</v>
      </c>
      <c r="M10" s="26">
        <f t="shared" si="4"/>
        <v>0</v>
      </c>
      <c r="N10" s="26" t="str">
        <f t="shared" si="5"/>
        <v>SHO</v>
      </c>
      <c r="O10" s="26" t="str">
        <f t="shared" si="6"/>
        <v>IPT</v>
      </c>
      <c r="P10" s="25" t="str">
        <f t="shared" ca="1" si="7"/>
        <v>ND260415_0</v>
      </c>
      <c r="Q10" s="27" t="str">
        <f t="shared" ca="1" si="8"/>
        <v>2026-04-15</v>
      </c>
      <c r="R10" s="26" t="str">
        <f t="shared" si="9"/>
        <v>PLN</v>
      </c>
      <c r="S10" s="23" t="str">
        <f>IF(H10=1,VLOOKUP(COUNTIF($H$2:H10,H10),Specyfikacja!$A$5:$D$99,2,0),IF(H10=2,VLOOKUP(COUNTIF($H$2:H10,H10),Specyfikacja!$A$5:$K$99,9,0),""))</f>
        <v/>
      </c>
      <c r="T10" s="23" t="str">
        <f>IF(H10=1,VLOOKUP(COUNTIF($H$2:H10,H10),Specyfikacja!$A$5:$D$99,3,0),IF(H10=2,VLOOKUP(COUNTIF($H$2:H10,H10),Specyfikacja!$A$5:$K$99,10,0),""))</f>
        <v/>
      </c>
      <c r="U10" s="23" t="str">
        <f>SUBSTITUTE(SUBSTITUTE(IF(H10=1,VLOOKUP(COUNTIF($H$2:H10,H10),Specyfikacja!$A$5:$D$99,4,0),IF(H10=2,VLOOKUP(COUNTIF($H$2:H10,H10),Specyfikacja!$A$5:$K$99,11,0),"")),"Tak","YES"),"Nie","NO")</f>
        <v/>
      </c>
      <c r="W10" s="646" t="str">
        <f t="shared" ca="1" si="10"/>
        <v>=PODSTAW('ZAMÓWIENIE | WYCENA'!C23;"_";'ZAMÓWIENIE | WYCENA'!$I$13;1)</v>
      </c>
      <c r="X10" s="646">
        <f t="shared" ca="1" si="11"/>
        <v>10</v>
      </c>
      <c r="Y10" s="646">
        <f t="shared" ca="1" si="12"/>
        <v>35</v>
      </c>
      <c r="Z10" s="646" t="str">
        <f t="shared" ca="1" si="13"/>
        <v>'ZAMÓWIENIE | WYCENA'!C23</v>
      </c>
      <c r="AA10" s="647">
        <f t="shared" ca="1" si="14"/>
        <v>0</v>
      </c>
      <c r="AB10" s="647">
        <f t="shared" ca="1" si="14"/>
        <v>67.900000000000006</v>
      </c>
      <c r="AC10" s="647">
        <f t="shared" ca="1" si="14"/>
        <v>86.1</v>
      </c>
      <c r="AD10" s="646" t="str">
        <f t="shared" si="15"/>
        <v>3351-501-905R-SPP200</v>
      </c>
      <c r="AE10" s="648">
        <f t="shared" ca="1" si="16"/>
        <v>67.900000000000006</v>
      </c>
    </row>
    <row r="11" spans="1:31" s="7" customFormat="1" ht="12">
      <c r="A11" s="23">
        <v>10</v>
      </c>
      <c r="B11" s="23" t="str">
        <f>SUBSTITUTE('ZAMÓWIENIE | WYCENA'!C24,"_",'ZAMÓWIENIE | WYCENA'!$I$13,1)</f>
        <v>3351-501-905R-SPP100</v>
      </c>
      <c r="C11" s="15">
        <f>'ZAMÓWIENIE | WYCENA'!I24</f>
        <v>0</v>
      </c>
      <c r="D11" s="14">
        <v>1</v>
      </c>
      <c r="F11" s="16"/>
      <c r="G11" s="16"/>
      <c r="H11" s="24">
        <f>IFERROR(IF(COUNTIFS($H$1:H10,H10)&gt;=VLOOKUP(H10,$A$2:$D$309,4,0),IF(H10=MAX($A$2:$A$317),"",Lista!H10+1),H10),"")</f>
        <v>10</v>
      </c>
      <c r="I11" s="22" t="str">
        <f t="shared" si="0"/>
        <v>3351-501-905R-SPP100</v>
      </c>
      <c r="J11" s="24">
        <f t="shared" si="1"/>
        <v>0</v>
      </c>
      <c r="K11" s="25">
        <f t="shared" si="2"/>
        <v>0</v>
      </c>
      <c r="L11" s="26">
        <f t="shared" si="3"/>
        <v>0</v>
      </c>
      <c r="M11" s="26">
        <f t="shared" si="4"/>
        <v>0</v>
      </c>
      <c r="N11" s="26" t="str">
        <f t="shared" si="5"/>
        <v>SHO</v>
      </c>
      <c r="O11" s="26" t="str">
        <f t="shared" si="6"/>
        <v>IPT</v>
      </c>
      <c r="P11" s="25" t="str">
        <f t="shared" ca="1" si="7"/>
        <v>ND260415_0</v>
      </c>
      <c r="Q11" s="27" t="str">
        <f t="shared" ca="1" si="8"/>
        <v>2026-04-15</v>
      </c>
      <c r="R11" s="26" t="str">
        <f t="shared" si="9"/>
        <v>PLN</v>
      </c>
      <c r="S11" s="23" t="str">
        <f>IF(H11=1,VLOOKUP(COUNTIF($H$2:H11,H11),Specyfikacja!$A$5:$D$99,2,0),IF(H11=2,VLOOKUP(COUNTIF($H$2:H11,H11),Specyfikacja!$A$5:$K$99,9,0),""))</f>
        <v/>
      </c>
      <c r="T11" s="23" t="str">
        <f>IF(H11=1,VLOOKUP(COUNTIF($H$2:H11,H11),Specyfikacja!$A$5:$D$99,3,0),IF(H11=2,VLOOKUP(COUNTIF($H$2:H11,H11),Specyfikacja!$A$5:$K$99,10,0),""))</f>
        <v/>
      </c>
      <c r="U11" s="23" t="str">
        <f>SUBSTITUTE(SUBSTITUTE(IF(H11=1,VLOOKUP(COUNTIF($H$2:H11,H11),Specyfikacja!$A$5:$D$99,4,0),IF(H11=2,VLOOKUP(COUNTIF($H$2:H11,H11),Specyfikacja!$A$5:$K$99,11,0),"")),"Tak","YES"),"Nie","NO")</f>
        <v/>
      </c>
      <c r="W11" s="646" t="str">
        <f t="shared" ca="1" si="10"/>
        <v>=PODSTAW('ZAMÓWIENIE | WYCENA'!C24;"_";'ZAMÓWIENIE | WYCENA'!$I$13;1)</v>
      </c>
      <c r="X11" s="646">
        <f t="shared" ca="1" si="11"/>
        <v>10</v>
      </c>
      <c r="Y11" s="646">
        <f t="shared" ca="1" si="12"/>
        <v>35</v>
      </c>
      <c r="Z11" s="646" t="str">
        <f t="shared" ca="1" si="13"/>
        <v>'ZAMÓWIENIE | WYCENA'!C24</v>
      </c>
      <c r="AA11" s="647">
        <f t="shared" ca="1" si="14"/>
        <v>0</v>
      </c>
      <c r="AB11" s="647">
        <f t="shared" ca="1" si="14"/>
        <v>37.4</v>
      </c>
      <c r="AC11" s="647">
        <f t="shared" ca="1" si="14"/>
        <v>47.5</v>
      </c>
      <c r="AD11" s="646" t="str">
        <f t="shared" si="15"/>
        <v>3351-501-905R-SPP100</v>
      </c>
      <c r="AE11" s="648">
        <f t="shared" ca="1" si="16"/>
        <v>37.4</v>
      </c>
    </row>
    <row r="12" spans="1:31" s="7" customFormat="1" ht="12">
      <c r="A12" s="23">
        <v>11</v>
      </c>
      <c r="B12" s="23" t="str">
        <f>SUBSTITUTE('ZAMÓWIENIE | WYCENA'!C21,"_",'ZAMÓWIENIE | WYCENA'!$J$13,1)</f>
        <v>3351-501-817R-MPP200</v>
      </c>
      <c r="C12" s="15">
        <f>'ZAMÓWIENIE | WYCENA'!J21</f>
        <v>0</v>
      </c>
      <c r="D12" s="14">
        <v>1</v>
      </c>
      <c r="F12" s="16"/>
      <c r="G12" s="16"/>
      <c r="H12" s="24">
        <f>IFERROR(IF(COUNTIFS($H$1:H11,H11)&gt;=VLOOKUP(H11,$A$2:$D$309,4,0),IF(H11=MAX($A$2:$A$317),"",Lista!H11+1),H11),"")</f>
        <v>11</v>
      </c>
      <c r="I12" s="22" t="str">
        <f t="shared" si="0"/>
        <v>3351-501-817R-MPP200</v>
      </c>
      <c r="J12" s="24">
        <f t="shared" si="1"/>
        <v>0</v>
      </c>
      <c r="K12" s="25">
        <f t="shared" si="2"/>
        <v>0</v>
      </c>
      <c r="L12" s="26">
        <f t="shared" si="3"/>
        <v>0</v>
      </c>
      <c r="M12" s="26">
        <f t="shared" si="4"/>
        <v>0</v>
      </c>
      <c r="N12" s="26" t="str">
        <f t="shared" si="5"/>
        <v>SHO</v>
      </c>
      <c r="O12" s="26" t="str">
        <f t="shared" si="6"/>
        <v>IPT</v>
      </c>
      <c r="P12" s="25" t="str">
        <f t="shared" ca="1" si="7"/>
        <v>ND260415_0</v>
      </c>
      <c r="Q12" s="27" t="str">
        <f t="shared" ca="1" si="8"/>
        <v>2026-04-15</v>
      </c>
      <c r="R12" s="26" t="str">
        <f t="shared" si="9"/>
        <v>PLN</v>
      </c>
      <c r="S12" s="23" t="str">
        <f>IF(H12=1,VLOOKUP(COUNTIF($H$2:H12,H12),Specyfikacja!$A$5:$D$99,2,0),IF(H12=2,VLOOKUP(COUNTIF($H$2:H12,H12),Specyfikacja!$A$5:$K$99,9,0),""))</f>
        <v/>
      </c>
      <c r="T12" s="23" t="str">
        <f>IF(H12=1,VLOOKUP(COUNTIF($H$2:H12,H12),Specyfikacja!$A$5:$D$99,3,0),IF(H12=2,VLOOKUP(COUNTIF($H$2:H12,H12),Specyfikacja!$A$5:$K$99,10,0),""))</f>
        <v/>
      </c>
      <c r="U12" s="23" t="str">
        <f>SUBSTITUTE(SUBSTITUTE(IF(H12=1,VLOOKUP(COUNTIF($H$2:H12,H12),Specyfikacja!$A$5:$D$99,4,0),IF(H12=2,VLOOKUP(COUNTIF($H$2:H12,H12),Specyfikacja!$A$5:$K$99,11,0),"")),"Tak","YES"),"Nie","NO")</f>
        <v/>
      </c>
      <c r="W12" s="646" t="str">
        <f t="shared" ca="1" si="10"/>
        <v>=PODSTAW('ZAMÓWIENIE | WYCENA'!C21;"_";'ZAMÓWIENIE | WYCENA'!$J$13;1)</v>
      </c>
      <c r="X12" s="646">
        <f t="shared" ca="1" si="11"/>
        <v>10</v>
      </c>
      <c r="Y12" s="646">
        <f t="shared" ca="1" si="12"/>
        <v>35</v>
      </c>
      <c r="Z12" s="646" t="str">
        <f t="shared" ca="1" si="13"/>
        <v>'ZAMÓWIENIE | WYCENA'!C21</v>
      </c>
      <c r="AA12" s="647">
        <f t="shared" ca="1" si="14"/>
        <v>0</v>
      </c>
      <c r="AB12" s="647">
        <f t="shared" ca="1" si="14"/>
        <v>67.900000000000006</v>
      </c>
      <c r="AC12" s="647">
        <f t="shared" ca="1" si="14"/>
        <v>86.1</v>
      </c>
      <c r="AD12" s="646" t="str">
        <f t="shared" si="15"/>
        <v>3351-501-817R-MPP200</v>
      </c>
      <c r="AE12" s="648">
        <f t="shared" ca="1" si="16"/>
        <v>67.900000000000006</v>
      </c>
    </row>
    <row r="13" spans="1:31" s="7" customFormat="1" ht="12">
      <c r="A13" s="23">
        <v>12</v>
      </c>
      <c r="B13" s="23" t="str">
        <f>SUBSTITUTE('ZAMÓWIENIE | WYCENA'!C22,"_",'ZAMÓWIENIE | WYCENA'!$J$13,1)</f>
        <v>3351-501-817R-MPP100</v>
      </c>
      <c r="C13" s="15">
        <f>'ZAMÓWIENIE | WYCENA'!J22</f>
        <v>0</v>
      </c>
      <c r="D13" s="14">
        <v>1</v>
      </c>
      <c r="F13" s="16"/>
      <c r="G13" s="16"/>
      <c r="H13" s="24">
        <f>IFERROR(IF(COUNTIFS($H$1:H12,H12)&gt;=VLOOKUP(H12,$A$2:$D$309,4,0),IF(H12=MAX($A$2:$A$317),"",Lista!H12+1),H12),"")</f>
        <v>12</v>
      </c>
      <c r="I13" s="22" t="str">
        <f t="shared" si="0"/>
        <v>3351-501-817R-MPP100</v>
      </c>
      <c r="J13" s="24">
        <f t="shared" si="1"/>
        <v>0</v>
      </c>
      <c r="K13" s="25">
        <f t="shared" si="2"/>
        <v>0</v>
      </c>
      <c r="L13" s="26">
        <f t="shared" si="3"/>
        <v>0</v>
      </c>
      <c r="M13" s="26">
        <f t="shared" si="4"/>
        <v>0</v>
      </c>
      <c r="N13" s="26" t="str">
        <f t="shared" si="5"/>
        <v>SHO</v>
      </c>
      <c r="O13" s="26" t="str">
        <f t="shared" si="6"/>
        <v>IPT</v>
      </c>
      <c r="P13" s="25" t="str">
        <f t="shared" ca="1" si="7"/>
        <v>ND260415_0</v>
      </c>
      <c r="Q13" s="27" t="str">
        <f t="shared" ca="1" si="8"/>
        <v>2026-04-15</v>
      </c>
      <c r="R13" s="26" t="str">
        <f t="shared" si="9"/>
        <v>PLN</v>
      </c>
      <c r="S13" s="23" t="str">
        <f>IF(H13=1,VLOOKUP(COUNTIF($H$2:H13,H13),Specyfikacja!$A$5:$D$99,2,0),IF(H13=2,VLOOKUP(COUNTIF($H$2:H13,H13),Specyfikacja!$A$5:$K$99,9,0),""))</f>
        <v/>
      </c>
      <c r="T13" s="23" t="str">
        <f>IF(H13=1,VLOOKUP(COUNTIF($H$2:H13,H13),Specyfikacja!$A$5:$D$99,3,0),IF(H13=2,VLOOKUP(COUNTIF($H$2:H13,H13),Specyfikacja!$A$5:$K$99,10,0),""))</f>
        <v/>
      </c>
      <c r="U13" s="23" t="str">
        <f>SUBSTITUTE(SUBSTITUTE(IF(H13=1,VLOOKUP(COUNTIF($H$2:H13,H13),Specyfikacja!$A$5:$D$99,4,0),IF(H13=2,VLOOKUP(COUNTIF($H$2:H13,H13),Specyfikacja!$A$5:$K$99,11,0),"")),"Tak","YES"),"Nie","NO")</f>
        <v/>
      </c>
      <c r="W13" s="646" t="str">
        <f t="shared" ca="1" si="10"/>
        <v>=PODSTAW('ZAMÓWIENIE | WYCENA'!C22;"_";'ZAMÓWIENIE | WYCENA'!$J$13;1)</v>
      </c>
      <c r="X13" s="646">
        <f t="shared" ca="1" si="11"/>
        <v>10</v>
      </c>
      <c r="Y13" s="646">
        <f t="shared" ca="1" si="12"/>
        <v>35</v>
      </c>
      <c r="Z13" s="646" t="str">
        <f t="shared" ca="1" si="13"/>
        <v>'ZAMÓWIENIE | WYCENA'!C22</v>
      </c>
      <c r="AA13" s="647">
        <f t="shared" ca="1" si="14"/>
        <v>0</v>
      </c>
      <c r="AB13" s="647">
        <f t="shared" ca="1" si="14"/>
        <v>37.4</v>
      </c>
      <c r="AC13" s="647">
        <f t="shared" ca="1" si="14"/>
        <v>47.5</v>
      </c>
      <c r="AD13" s="646" t="str">
        <f t="shared" si="15"/>
        <v>3351-501-817R-MPP100</v>
      </c>
      <c r="AE13" s="648">
        <f t="shared" ca="1" si="16"/>
        <v>37.4</v>
      </c>
    </row>
    <row r="14" spans="1:31" s="7" customFormat="1" ht="12">
      <c r="A14" s="23">
        <v>13</v>
      </c>
      <c r="B14" s="23" t="str">
        <f>SUBSTITUTE('ZAMÓWIENIE | WYCENA'!C23,"_",'ZAMÓWIENIE | WYCENA'!$J$13,1)</f>
        <v>3351-501-817R-SPP200</v>
      </c>
      <c r="C14" s="15">
        <f>'ZAMÓWIENIE | WYCENA'!J23</f>
        <v>0</v>
      </c>
      <c r="D14" s="14">
        <v>1</v>
      </c>
      <c r="F14" s="16"/>
      <c r="G14" s="16"/>
      <c r="H14" s="24">
        <f>IFERROR(IF(COUNTIFS($H$1:H13,H13)&gt;=VLOOKUP(H13,$A$2:$D$309,4,0),IF(H13=MAX($A$2:$A$317),"",Lista!H13+1),H13),"")</f>
        <v>13</v>
      </c>
      <c r="I14" s="22" t="str">
        <f t="shared" si="0"/>
        <v>3351-501-817R-SPP200</v>
      </c>
      <c r="J14" s="24">
        <f t="shared" si="1"/>
        <v>0</v>
      </c>
      <c r="K14" s="25">
        <f t="shared" si="2"/>
        <v>0</v>
      </c>
      <c r="L14" s="26">
        <f t="shared" si="3"/>
        <v>0</v>
      </c>
      <c r="M14" s="26">
        <f t="shared" si="4"/>
        <v>0</v>
      </c>
      <c r="N14" s="26" t="str">
        <f t="shared" si="5"/>
        <v>SHO</v>
      </c>
      <c r="O14" s="26" t="str">
        <f t="shared" si="6"/>
        <v>IPT</v>
      </c>
      <c r="P14" s="25" t="str">
        <f t="shared" ca="1" si="7"/>
        <v>ND260415_0</v>
      </c>
      <c r="Q14" s="27" t="str">
        <f t="shared" ca="1" si="8"/>
        <v>2026-04-15</v>
      </c>
      <c r="R14" s="26" t="str">
        <f t="shared" si="9"/>
        <v>PLN</v>
      </c>
      <c r="S14" s="23" t="str">
        <f>IF(H14=1,VLOOKUP(COUNTIF($H$2:H14,H14),Specyfikacja!$A$5:$D$99,2,0),IF(H14=2,VLOOKUP(COUNTIF($H$2:H14,H14),Specyfikacja!$A$5:$K$99,9,0),""))</f>
        <v/>
      </c>
      <c r="T14" s="23" t="str">
        <f>IF(H14=1,VLOOKUP(COUNTIF($H$2:H14,H14),Specyfikacja!$A$5:$D$99,3,0),IF(H14=2,VLOOKUP(COUNTIF($H$2:H14,H14),Specyfikacja!$A$5:$K$99,10,0),""))</f>
        <v/>
      </c>
      <c r="U14" s="23" t="str">
        <f>SUBSTITUTE(SUBSTITUTE(IF(H14=1,VLOOKUP(COUNTIF($H$2:H14,H14),Specyfikacja!$A$5:$D$99,4,0),IF(H14=2,VLOOKUP(COUNTIF($H$2:H14,H14),Specyfikacja!$A$5:$K$99,11,0),"")),"Tak","YES"),"Nie","NO")</f>
        <v/>
      </c>
      <c r="W14" s="646" t="str">
        <f t="shared" ca="1" si="10"/>
        <v>=PODSTAW('ZAMÓWIENIE | WYCENA'!C23;"_";'ZAMÓWIENIE | WYCENA'!$J$13;1)</v>
      </c>
      <c r="X14" s="646">
        <f t="shared" ca="1" si="11"/>
        <v>10</v>
      </c>
      <c r="Y14" s="646">
        <f t="shared" ca="1" si="12"/>
        <v>35</v>
      </c>
      <c r="Z14" s="646" t="str">
        <f t="shared" ca="1" si="13"/>
        <v>'ZAMÓWIENIE | WYCENA'!C23</v>
      </c>
      <c r="AA14" s="647">
        <f t="shared" ca="1" si="14"/>
        <v>0</v>
      </c>
      <c r="AB14" s="647">
        <f t="shared" ca="1" si="14"/>
        <v>67.900000000000006</v>
      </c>
      <c r="AC14" s="647">
        <f t="shared" ca="1" si="14"/>
        <v>86.1</v>
      </c>
      <c r="AD14" s="646" t="str">
        <f t="shared" si="15"/>
        <v>3351-501-817R-SPP200</v>
      </c>
      <c r="AE14" s="648">
        <f t="shared" ca="1" si="16"/>
        <v>67.900000000000006</v>
      </c>
    </row>
    <row r="15" spans="1:31" s="7" customFormat="1" ht="12">
      <c r="A15" s="23">
        <v>14</v>
      </c>
      <c r="B15" s="23" t="str">
        <f>SUBSTITUTE('ZAMÓWIENIE | WYCENA'!C24,"_",'ZAMÓWIENIE | WYCENA'!$J$13,1)</f>
        <v>3351-501-817R-SPP100</v>
      </c>
      <c r="C15" s="15">
        <f>'ZAMÓWIENIE | WYCENA'!J24</f>
        <v>0</v>
      </c>
      <c r="D15" s="14">
        <v>1</v>
      </c>
      <c r="F15" s="16"/>
      <c r="G15" s="16"/>
      <c r="H15" s="24">
        <f>IFERROR(IF(COUNTIFS($H$1:H14,H14)&gt;=VLOOKUP(H14,$A$2:$D$309,4,0),IF(H14=MAX($A$2:$A$317),"",Lista!H14+1),H14),"")</f>
        <v>14</v>
      </c>
      <c r="I15" s="22" t="str">
        <f t="shared" si="0"/>
        <v>3351-501-817R-SPP100</v>
      </c>
      <c r="J15" s="24">
        <f t="shared" si="1"/>
        <v>0</v>
      </c>
      <c r="K15" s="25">
        <f t="shared" si="2"/>
        <v>0</v>
      </c>
      <c r="L15" s="26">
        <f t="shared" si="3"/>
        <v>0</v>
      </c>
      <c r="M15" s="26">
        <f t="shared" si="4"/>
        <v>0</v>
      </c>
      <c r="N15" s="26" t="str">
        <f t="shared" si="5"/>
        <v>SHO</v>
      </c>
      <c r="O15" s="26" t="str">
        <f t="shared" si="6"/>
        <v>IPT</v>
      </c>
      <c r="P15" s="25" t="str">
        <f t="shared" ca="1" si="7"/>
        <v>ND260415_0</v>
      </c>
      <c r="Q15" s="27" t="str">
        <f t="shared" ca="1" si="8"/>
        <v>2026-04-15</v>
      </c>
      <c r="R15" s="26" t="str">
        <f t="shared" si="9"/>
        <v>PLN</v>
      </c>
      <c r="S15" s="23" t="str">
        <f>IF(H15=1,VLOOKUP(COUNTIF($H$2:H15,H15),Specyfikacja!$A$5:$D$99,2,0),IF(H15=2,VLOOKUP(COUNTIF($H$2:H15,H15),Specyfikacja!$A$5:$K$99,9,0),""))</f>
        <v/>
      </c>
      <c r="T15" s="23" t="str">
        <f>IF(H15=1,VLOOKUP(COUNTIF($H$2:H15,H15),Specyfikacja!$A$5:$D$99,3,0),IF(H15=2,VLOOKUP(COUNTIF($H$2:H15,H15),Specyfikacja!$A$5:$K$99,10,0),""))</f>
        <v/>
      </c>
      <c r="U15" s="23" t="str">
        <f>SUBSTITUTE(SUBSTITUTE(IF(H15=1,VLOOKUP(COUNTIF($H$2:H15,H15),Specyfikacja!$A$5:$D$99,4,0),IF(H15=2,VLOOKUP(COUNTIF($H$2:H15,H15),Specyfikacja!$A$5:$K$99,11,0),"")),"Tak","YES"),"Nie","NO")</f>
        <v/>
      </c>
      <c r="W15" s="646" t="str">
        <f t="shared" ca="1" si="10"/>
        <v>=PODSTAW('ZAMÓWIENIE | WYCENA'!C24;"_";'ZAMÓWIENIE | WYCENA'!$J$13;1)</v>
      </c>
      <c r="X15" s="646">
        <f t="shared" ca="1" si="11"/>
        <v>10</v>
      </c>
      <c r="Y15" s="646">
        <f t="shared" ca="1" si="12"/>
        <v>35</v>
      </c>
      <c r="Z15" s="646" t="str">
        <f t="shared" ca="1" si="13"/>
        <v>'ZAMÓWIENIE | WYCENA'!C24</v>
      </c>
      <c r="AA15" s="647">
        <f t="shared" ca="1" si="14"/>
        <v>0</v>
      </c>
      <c r="AB15" s="647">
        <f t="shared" ca="1" si="14"/>
        <v>37.4</v>
      </c>
      <c r="AC15" s="647">
        <f t="shared" ca="1" si="14"/>
        <v>47.5</v>
      </c>
      <c r="AD15" s="646" t="str">
        <f t="shared" si="15"/>
        <v>3351-501-817R-SPP100</v>
      </c>
      <c r="AE15" s="648">
        <f t="shared" ca="1" si="16"/>
        <v>37.4</v>
      </c>
    </row>
    <row r="16" spans="1:31" s="7" customFormat="1" ht="12">
      <c r="A16" s="23">
        <v>15</v>
      </c>
      <c r="B16" s="23" t="s">
        <v>321</v>
      </c>
      <c r="C16" s="15">
        <f>'ZAMÓWIENIE | WYCENA'!H32</f>
        <v>0</v>
      </c>
      <c r="D16" s="14">
        <v>1</v>
      </c>
      <c r="F16" s="16"/>
      <c r="G16" s="16"/>
      <c r="H16" s="24">
        <f>IFERROR(IF(COUNTIFS($H$1:H15,H15)&gt;=VLOOKUP(H15,$A$2:$D$309,4,0),IF(H15=MAX($A$2:$A$317),"",Lista!H15+1),H15),"")</f>
        <v>15</v>
      </c>
      <c r="I16" s="22" t="str">
        <f t="shared" si="0"/>
        <v>3330-125-716R-BPF000</v>
      </c>
      <c r="J16" s="24">
        <f t="shared" si="1"/>
        <v>0</v>
      </c>
      <c r="K16" s="25">
        <f t="shared" ref="K16:K79" si="17">IF(H16=H15,"",IF(H16="","",$F$2))</f>
        <v>0</v>
      </c>
      <c r="L16" s="26">
        <f t="shared" ref="L16:L79" si="18">IF(H16=H15,"",IF(H16="","",$F$3))</f>
        <v>0</v>
      </c>
      <c r="M16" s="26">
        <f t="shared" si="4"/>
        <v>0</v>
      </c>
      <c r="N16" s="26" t="str">
        <f t="shared" si="5"/>
        <v>SHO</v>
      </c>
      <c r="O16" s="26" t="str">
        <f t="shared" si="6"/>
        <v>IPT</v>
      </c>
      <c r="P16" s="25" t="str">
        <f t="shared" ca="1" si="7"/>
        <v>ND260415_0</v>
      </c>
      <c r="Q16" s="27" t="str">
        <f t="shared" ref="Q16:Q79" ca="1" si="19">IF(H16=H15,"",IF(H16="","",$F$8))</f>
        <v>2026-04-15</v>
      </c>
      <c r="R16" s="26" t="str">
        <f t="shared" ref="R16:R79" si="20">IF(H16=H15,"",IF(H16="","",$F$9))</f>
        <v>PLN</v>
      </c>
      <c r="S16" s="23" t="str">
        <f>IF(H16=1,VLOOKUP(COUNTIF($H$2:H16,H16),Specyfikacja!$A$5:$D$99,2,0),IF(H16=2,VLOOKUP(COUNTIF($H$2:H16,H16),Specyfikacja!$A$5:$K$99,9,0),""))</f>
        <v/>
      </c>
      <c r="T16" s="23" t="str">
        <f>IF(H16=1,VLOOKUP(COUNTIF($H$2:H16,H16),Specyfikacja!$A$5:$D$99,3,0),IF(H16=2,VLOOKUP(COUNTIF($H$2:H16,H16),Specyfikacja!$A$5:$K$99,10,0),""))</f>
        <v/>
      </c>
      <c r="U16" s="23" t="str">
        <f>SUBSTITUTE(SUBSTITUTE(IF(H16=1,VLOOKUP(COUNTIF($H$2:H16,H16),Specyfikacja!$A$5:$D$99,4,0),IF(H16=2,VLOOKUP(COUNTIF($H$2:H16,H16),Specyfikacja!$A$5:$K$99,11,0),"")),"Tak","YES"),"Nie","NO")</f>
        <v/>
      </c>
      <c r="W16" s="646"/>
      <c r="X16" s="646"/>
      <c r="Y16" s="646"/>
      <c r="Z16" s="646"/>
      <c r="AA16" s="647"/>
      <c r="AB16" s="647"/>
      <c r="AC16" s="647"/>
      <c r="AD16" s="646"/>
      <c r="AE16" s="648"/>
    </row>
    <row r="17" spans="1:31" s="7" customFormat="1" ht="12">
      <c r="A17" s="23">
        <v>16</v>
      </c>
      <c r="B17" s="23" t="str">
        <f>SUBSTITUTE('ZAMÓWIENIE | WYCENA'!C37,"_",'ZAMÓWIENIE | WYCENA'!$H$13,1)</f>
        <v>3341-220-716R-GSR200</v>
      </c>
      <c r="C17" s="15">
        <f>'ZAMÓWIENIE | WYCENA'!H37</f>
        <v>0</v>
      </c>
      <c r="D17" s="14">
        <v>1</v>
      </c>
      <c r="F17" s="16"/>
      <c r="G17" s="16"/>
      <c r="H17" s="24">
        <f>IFERROR(IF(COUNTIFS($H$1:H16,H16)&gt;=VLOOKUP(H16,$A$2:$D$309,4,0),IF(H16=MAX($A$2:$A$317),"",Lista!H16+1),H16),"")</f>
        <v>16</v>
      </c>
      <c r="I17" s="22" t="str">
        <f t="shared" si="0"/>
        <v>3341-220-716R-GSR200</v>
      </c>
      <c r="J17" s="24">
        <f t="shared" si="1"/>
        <v>0</v>
      </c>
      <c r="K17" s="25">
        <f t="shared" si="17"/>
        <v>0</v>
      </c>
      <c r="L17" s="26">
        <f t="shared" si="18"/>
        <v>0</v>
      </c>
      <c r="M17" s="26">
        <f t="shared" si="4"/>
        <v>0</v>
      </c>
      <c r="N17" s="26" t="str">
        <f t="shared" si="5"/>
        <v>SHO</v>
      </c>
      <c r="O17" s="26" t="str">
        <f t="shared" si="6"/>
        <v>IPT</v>
      </c>
      <c r="P17" s="25" t="str">
        <f t="shared" ca="1" si="7"/>
        <v>ND260415_0</v>
      </c>
      <c r="Q17" s="27" t="str">
        <f t="shared" ca="1" si="19"/>
        <v>2026-04-15</v>
      </c>
      <c r="R17" s="26" t="str">
        <f t="shared" si="20"/>
        <v>PLN</v>
      </c>
      <c r="S17" s="23" t="str">
        <f>IF(H17=1,VLOOKUP(COUNTIF($H$2:H17,H17),Specyfikacja!$A$5:$D$99,2,0),IF(H17=2,VLOOKUP(COUNTIF($H$2:H17,H17),Specyfikacja!$A$5:$K$99,9,0),""))</f>
        <v/>
      </c>
      <c r="T17" s="23" t="str">
        <f>IF(H17=1,VLOOKUP(COUNTIF($H$2:H17,H17),Specyfikacja!$A$5:$D$99,3,0),IF(H17=2,VLOOKUP(COUNTIF($H$2:H17,H17),Specyfikacja!$A$5:$K$99,10,0),""))</f>
        <v/>
      </c>
      <c r="U17" s="23" t="str">
        <f>SUBSTITUTE(SUBSTITUTE(IF(H17=1,VLOOKUP(COUNTIF($H$2:H17,H17),Specyfikacja!$A$5:$D$99,4,0),IF(H17=2,VLOOKUP(COUNTIF($H$2:H17,H17),Specyfikacja!$A$5:$K$99,11,0),"")),"Tak","YES"),"Nie","NO")</f>
        <v/>
      </c>
      <c r="W17" s="646" t="str">
        <f t="shared" ca="1" si="10"/>
        <v>=PODSTAW('ZAMÓWIENIE | WYCENA'!C37;"_";'ZAMÓWIENIE | WYCENA'!$H$13;1)</v>
      </c>
      <c r="X17" s="646">
        <f t="shared" ca="1" si="11"/>
        <v>10</v>
      </c>
      <c r="Y17" s="646">
        <f t="shared" ca="1" si="12"/>
        <v>35</v>
      </c>
      <c r="Z17" s="646" t="str">
        <f t="shared" ca="1" si="13"/>
        <v>'ZAMÓWIENIE | WYCENA'!C37</v>
      </c>
      <c r="AA17" s="647">
        <f t="shared" ca="1" si="14"/>
        <v>59</v>
      </c>
      <c r="AB17" s="647">
        <f t="shared" ca="1" si="14"/>
        <v>59</v>
      </c>
      <c r="AC17" s="647">
        <f t="shared" ca="1" si="14"/>
        <v>69.400000000000006</v>
      </c>
      <c r="AD17" s="646" t="str">
        <f t="shared" si="15"/>
        <v>3341-220-716R-GSR200</v>
      </c>
      <c r="AE17" s="648">
        <f t="shared" ca="1" si="16"/>
        <v>59</v>
      </c>
    </row>
    <row r="18" spans="1:31" s="7" customFormat="1" ht="12">
      <c r="A18" s="23">
        <v>17</v>
      </c>
      <c r="B18" s="23" t="str">
        <f>SUBSTITUTE('ZAMÓWIENIE | WYCENA'!C38,"_",'ZAMÓWIENIE | WYCENA'!$H$13,1)</f>
        <v>3341-293-716R-GSR200</v>
      </c>
      <c r="C18" s="15">
        <f>'ZAMÓWIENIE | WYCENA'!H38</f>
        <v>0</v>
      </c>
      <c r="D18" s="14">
        <v>1</v>
      </c>
      <c r="F18" s="16"/>
      <c r="G18" s="16"/>
      <c r="H18" s="24">
        <f>IFERROR(IF(COUNTIFS($H$1:H17,H17)&gt;=VLOOKUP(H17,$A$2:$D$309,4,0),IF(H17=MAX($A$2:$A$317),"",Lista!H17+1),H17),"")</f>
        <v>17</v>
      </c>
      <c r="I18" s="22" t="str">
        <f t="shared" si="0"/>
        <v>3341-293-716R-GSR200</v>
      </c>
      <c r="J18" s="24">
        <f t="shared" si="1"/>
        <v>0</v>
      </c>
      <c r="K18" s="25">
        <f t="shared" si="17"/>
        <v>0</v>
      </c>
      <c r="L18" s="26">
        <f t="shared" si="18"/>
        <v>0</v>
      </c>
      <c r="M18" s="26">
        <f t="shared" si="4"/>
        <v>0</v>
      </c>
      <c r="N18" s="26" t="str">
        <f t="shared" si="5"/>
        <v>SHO</v>
      </c>
      <c r="O18" s="26" t="str">
        <f t="shared" si="6"/>
        <v>IPT</v>
      </c>
      <c r="P18" s="25" t="str">
        <f t="shared" ca="1" si="7"/>
        <v>ND260415_0</v>
      </c>
      <c r="Q18" s="27" t="str">
        <f t="shared" ca="1" si="19"/>
        <v>2026-04-15</v>
      </c>
      <c r="R18" s="26" t="str">
        <f t="shared" si="20"/>
        <v>PLN</v>
      </c>
      <c r="S18" s="23" t="str">
        <f>IF(H18=1,VLOOKUP(COUNTIF($H$2:H18,H18),Specyfikacja!$A$5:$D$99,2,0),IF(H18=2,VLOOKUP(COUNTIF($H$2:H18,H18),Specyfikacja!$A$5:$K$99,9,0),""))</f>
        <v/>
      </c>
      <c r="T18" s="23" t="str">
        <f>IF(H18=1,VLOOKUP(COUNTIF($H$2:H18,H18),Specyfikacja!$A$5:$D$99,3,0),IF(H18=2,VLOOKUP(COUNTIF($H$2:H18,H18),Specyfikacja!$A$5:$K$99,10,0),""))</f>
        <v/>
      </c>
      <c r="U18" s="23" t="str">
        <f>SUBSTITUTE(SUBSTITUTE(IF(H18=1,VLOOKUP(COUNTIF($H$2:H18,H18),Specyfikacja!$A$5:$D$99,4,0),IF(H18=2,VLOOKUP(COUNTIF($H$2:H18,H18),Specyfikacja!$A$5:$K$99,11,0),"")),"Tak","YES"),"Nie","NO")</f>
        <v/>
      </c>
      <c r="W18" s="646" t="str">
        <f t="shared" ca="1" si="10"/>
        <v>=PODSTAW('ZAMÓWIENIE | WYCENA'!C38;"_";'ZAMÓWIENIE | WYCENA'!$H$13;1)</v>
      </c>
      <c r="X18" s="646">
        <f t="shared" ca="1" si="11"/>
        <v>10</v>
      </c>
      <c r="Y18" s="646">
        <f t="shared" ca="1" si="12"/>
        <v>35</v>
      </c>
      <c r="Z18" s="646" t="str">
        <f t="shared" ca="1" si="13"/>
        <v>'ZAMÓWIENIE | WYCENA'!C38</v>
      </c>
      <c r="AA18" s="647">
        <f t="shared" ca="1" si="14"/>
        <v>62.2</v>
      </c>
      <c r="AB18" s="647">
        <f t="shared" ca="1" si="14"/>
        <v>62.2</v>
      </c>
      <c r="AC18" s="647">
        <f t="shared" ca="1" si="14"/>
        <v>73.2</v>
      </c>
      <c r="AD18" s="646" t="str">
        <f t="shared" si="15"/>
        <v>3341-293-716R-GSR200</v>
      </c>
      <c r="AE18" s="648">
        <f t="shared" ca="1" si="16"/>
        <v>62.2</v>
      </c>
    </row>
    <row r="19" spans="1:31" s="7" customFormat="1" ht="12">
      <c r="A19" s="23">
        <v>18</v>
      </c>
      <c r="B19" s="23" t="str">
        <f>SUBSTITUTE('ZAMÓWIENIE | WYCENA'!C39,"_",'ZAMÓWIENIE | WYCENA'!$H$13,1)</f>
        <v>3341-000-716R-PSN200</v>
      </c>
      <c r="C19" s="15">
        <f>'ZAMÓWIENIE | WYCENA'!H39</f>
        <v>0</v>
      </c>
      <c r="D19" s="14">
        <v>1</v>
      </c>
      <c r="F19" s="16"/>
      <c r="G19" s="16"/>
      <c r="H19" s="24">
        <f>IFERROR(IF(COUNTIFS($H$1:H18,H18)&gt;=VLOOKUP(H18,$A$2:$D$309,4,0),IF(H18=MAX($A$2:$A$317),"",Lista!H18+1),H18),"")</f>
        <v>18</v>
      </c>
      <c r="I19" s="22" t="str">
        <f t="shared" si="0"/>
        <v>3341-000-716R-PSN200</v>
      </c>
      <c r="J19" s="24">
        <f t="shared" si="1"/>
        <v>0</v>
      </c>
      <c r="K19" s="25">
        <f t="shared" si="17"/>
        <v>0</v>
      </c>
      <c r="L19" s="26">
        <f t="shared" si="18"/>
        <v>0</v>
      </c>
      <c r="M19" s="26">
        <f t="shared" si="4"/>
        <v>0</v>
      </c>
      <c r="N19" s="26" t="str">
        <f t="shared" si="5"/>
        <v>SHO</v>
      </c>
      <c r="O19" s="26" t="str">
        <f t="shared" si="6"/>
        <v>IPT</v>
      </c>
      <c r="P19" s="25" t="str">
        <f t="shared" ca="1" si="7"/>
        <v>ND260415_0</v>
      </c>
      <c r="Q19" s="27" t="str">
        <f t="shared" ca="1" si="19"/>
        <v>2026-04-15</v>
      </c>
      <c r="R19" s="26" t="str">
        <f t="shared" si="20"/>
        <v>PLN</v>
      </c>
      <c r="S19" s="23" t="str">
        <f>IF(H19=1,VLOOKUP(COUNTIF($H$2:H19,H19),Specyfikacja!$A$5:$D$99,2,0),IF(H19=2,VLOOKUP(COUNTIF($H$2:H19,H19),Specyfikacja!$A$5:$K$99,9,0),""))</f>
        <v/>
      </c>
      <c r="T19" s="23" t="str">
        <f>IF(H19=1,VLOOKUP(COUNTIF($H$2:H19,H19),Specyfikacja!$A$5:$D$99,3,0),IF(H19=2,VLOOKUP(COUNTIF($H$2:H19,H19),Specyfikacja!$A$5:$K$99,10,0),""))</f>
        <v/>
      </c>
      <c r="U19" s="23" t="str">
        <f>SUBSTITUTE(SUBSTITUTE(IF(H19=1,VLOOKUP(COUNTIF($H$2:H19,H19),Specyfikacja!$A$5:$D$99,4,0),IF(H19=2,VLOOKUP(COUNTIF($H$2:H19,H19),Specyfikacja!$A$5:$K$99,11,0),"")),"Tak","YES"),"Nie","NO")</f>
        <v/>
      </c>
      <c r="W19" s="646" t="str">
        <f t="shared" ca="1" si="10"/>
        <v>=PODSTAW('ZAMÓWIENIE | WYCENA'!C39;"_";'ZAMÓWIENIE | WYCENA'!$H$13;1)</v>
      </c>
      <c r="X19" s="646">
        <f t="shared" ca="1" si="11"/>
        <v>10</v>
      </c>
      <c r="Y19" s="646">
        <f t="shared" ca="1" si="12"/>
        <v>35</v>
      </c>
      <c r="Z19" s="646" t="str">
        <f t="shared" ca="1" si="13"/>
        <v>'ZAMÓWIENIE | WYCENA'!C39</v>
      </c>
      <c r="AA19" s="647">
        <f t="shared" ca="1" si="14"/>
        <v>54.3</v>
      </c>
      <c r="AB19" s="647">
        <f t="shared" ca="1" si="14"/>
        <v>54.3</v>
      </c>
      <c r="AC19" s="647">
        <f t="shared" ca="1" si="14"/>
        <v>63.9</v>
      </c>
      <c r="AD19" s="646" t="str">
        <f t="shared" si="15"/>
        <v>3341-000-716R-PSN200</v>
      </c>
      <c r="AE19" s="648">
        <f t="shared" ca="1" si="16"/>
        <v>54.3</v>
      </c>
    </row>
    <row r="20" spans="1:31" s="7" customFormat="1" ht="12">
      <c r="A20" s="23">
        <v>19</v>
      </c>
      <c r="B20" s="23" t="str">
        <f>SUBSTITUTE('ZAMÓWIENIE | WYCENA'!C40,"_",'ZAMÓWIENIE | WYCENA'!$H$13,1)</f>
        <v>3341-000-716R-PSW200</v>
      </c>
      <c r="C20" s="15">
        <f>'ZAMÓWIENIE | WYCENA'!H40</f>
        <v>0</v>
      </c>
      <c r="D20" s="14">
        <v>1</v>
      </c>
      <c r="F20" s="16"/>
      <c r="G20" s="16"/>
      <c r="H20" s="24">
        <f>IFERROR(IF(COUNTIFS($H$1:H19,H19)&gt;=VLOOKUP(H19,$A$2:$D$309,4,0),IF(H19=MAX($A$2:$A$317),"",Lista!H19+1),H19),"")</f>
        <v>19</v>
      </c>
      <c r="I20" s="22" t="str">
        <f t="shared" si="0"/>
        <v>3341-000-716R-PSW200</v>
      </c>
      <c r="J20" s="24">
        <f t="shared" si="1"/>
        <v>0</v>
      </c>
      <c r="K20" s="25">
        <f t="shared" si="17"/>
        <v>0</v>
      </c>
      <c r="L20" s="26">
        <f t="shared" si="18"/>
        <v>0</v>
      </c>
      <c r="M20" s="26">
        <f t="shared" si="4"/>
        <v>0</v>
      </c>
      <c r="N20" s="26" t="str">
        <f t="shared" si="5"/>
        <v>SHO</v>
      </c>
      <c r="O20" s="26" t="str">
        <f t="shared" si="6"/>
        <v>IPT</v>
      </c>
      <c r="P20" s="25" t="str">
        <f t="shared" ca="1" si="7"/>
        <v>ND260415_0</v>
      </c>
      <c r="Q20" s="27" t="str">
        <f t="shared" ca="1" si="19"/>
        <v>2026-04-15</v>
      </c>
      <c r="R20" s="26" t="str">
        <f t="shared" si="20"/>
        <v>PLN</v>
      </c>
      <c r="S20" s="23" t="str">
        <f>IF(H20=1,VLOOKUP(COUNTIF($H$2:H20,H20),Specyfikacja!$A$5:$D$99,2,0),IF(H20=2,VLOOKUP(COUNTIF($H$2:H20,H20),Specyfikacja!$A$5:$K$99,9,0),""))</f>
        <v/>
      </c>
      <c r="T20" s="23" t="str">
        <f>IF(H20=1,VLOOKUP(COUNTIF($H$2:H20,H20),Specyfikacja!$A$5:$D$99,3,0),IF(H20=2,VLOOKUP(COUNTIF($H$2:H20,H20),Specyfikacja!$A$5:$K$99,10,0),""))</f>
        <v/>
      </c>
      <c r="U20" s="23" t="str">
        <f>SUBSTITUTE(SUBSTITUTE(IF(H20=1,VLOOKUP(COUNTIF($H$2:H20,H20),Specyfikacja!$A$5:$D$99,4,0),IF(H20=2,VLOOKUP(COUNTIF($H$2:H20,H20),Specyfikacja!$A$5:$K$99,11,0),"")),"Tak","YES"),"Nie","NO")</f>
        <v/>
      </c>
      <c r="W20" s="646" t="str">
        <f t="shared" ca="1" si="10"/>
        <v>=PODSTAW('ZAMÓWIENIE | WYCENA'!C40;"_";'ZAMÓWIENIE | WYCENA'!$H$13;1)</v>
      </c>
      <c r="X20" s="646">
        <f t="shared" ca="1" si="11"/>
        <v>10</v>
      </c>
      <c r="Y20" s="646">
        <f t="shared" ca="1" si="12"/>
        <v>35</v>
      </c>
      <c r="Z20" s="646" t="str">
        <f t="shared" ca="1" si="13"/>
        <v>'ZAMÓWIENIE | WYCENA'!C40</v>
      </c>
      <c r="AA20" s="647">
        <f t="shared" ca="1" si="14"/>
        <v>89.2</v>
      </c>
      <c r="AB20" s="647">
        <f t="shared" ca="1" si="14"/>
        <v>89.2</v>
      </c>
      <c r="AC20" s="647">
        <f t="shared" ca="1" si="14"/>
        <v>104.9</v>
      </c>
      <c r="AD20" s="646" t="str">
        <f t="shared" si="15"/>
        <v>3341-000-716R-PSW200</v>
      </c>
      <c r="AE20" s="648">
        <f t="shared" ca="1" si="16"/>
        <v>89.2</v>
      </c>
    </row>
    <row r="21" spans="1:31" s="7" customFormat="1" ht="12">
      <c r="A21" s="23">
        <v>20</v>
      </c>
      <c r="B21" s="23" t="str">
        <f>SUBSTITUTE('ZAMÓWIENIE | WYCENA'!C41,"_",'ZAMÓWIENIE | WYCENA'!$H$13,1)</f>
        <v>3341-000-716R-WTA200</v>
      </c>
      <c r="C21" s="15">
        <f>'ZAMÓWIENIE | WYCENA'!H41</f>
        <v>0</v>
      </c>
      <c r="D21" s="14">
        <v>1</v>
      </c>
      <c r="F21" s="16"/>
      <c r="G21" s="16"/>
      <c r="H21" s="24">
        <f>IFERROR(IF(COUNTIFS($H$1:H20,H20)&gt;=VLOOKUP(H20,$A$2:$D$309,4,0),IF(H20=MAX($A$2:$A$317),"",Lista!H20+1),H20),"")</f>
        <v>20</v>
      </c>
      <c r="I21" s="22" t="str">
        <f t="shared" si="0"/>
        <v>3341-000-716R-WTA200</v>
      </c>
      <c r="J21" s="24">
        <f t="shared" si="1"/>
        <v>0</v>
      </c>
      <c r="K21" s="25">
        <f t="shared" si="17"/>
        <v>0</v>
      </c>
      <c r="L21" s="26">
        <f t="shared" si="18"/>
        <v>0</v>
      </c>
      <c r="M21" s="26">
        <f t="shared" si="4"/>
        <v>0</v>
      </c>
      <c r="N21" s="26" t="str">
        <f t="shared" si="5"/>
        <v>SHO</v>
      </c>
      <c r="O21" s="26" t="str">
        <f t="shared" si="6"/>
        <v>IPT</v>
      </c>
      <c r="P21" s="25" t="str">
        <f t="shared" ca="1" si="7"/>
        <v>ND260415_0</v>
      </c>
      <c r="Q21" s="27" t="str">
        <f t="shared" ca="1" si="19"/>
        <v>2026-04-15</v>
      </c>
      <c r="R21" s="26" t="str">
        <f t="shared" si="20"/>
        <v>PLN</v>
      </c>
      <c r="S21" s="23" t="str">
        <f>IF(H21=1,VLOOKUP(COUNTIF($H$2:H21,H21),Specyfikacja!$A$5:$D$99,2,0),IF(H21=2,VLOOKUP(COUNTIF($H$2:H21,H21),Specyfikacja!$A$5:$K$99,9,0),""))</f>
        <v/>
      </c>
      <c r="T21" s="23" t="str">
        <f>IF(H21=1,VLOOKUP(COUNTIF($H$2:H21,H21),Specyfikacja!$A$5:$D$99,3,0),IF(H21=2,VLOOKUP(COUNTIF($H$2:H21,H21),Specyfikacja!$A$5:$K$99,10,0),""))</f>
        <v/>
      </c>
      <c r="U21" s="23" t="str">
        <f>SUBSTITUTE(SUBSTITUTE(IF(H21=1,VLOOKUP(COUNTIF($H$2:H21,H21),Specyfikacja!$A$5:$D$99,4,0),IF(H21=2,VLOOKUP(COUNTIF($H$2:H21,H21),Specyfikacja!$A$5:$K$99,11,0),"")),"Tak","YES"),"Nie","NO")</f>
        <v/>
      </c>
      <c r="W21" s="646" t="str">
        <f t="shared" ca="1" si="10"/>
        <v>=PODSTAW('ZAMÓWIENIE | WYCENA'!C41;"_";'ZAMÓWIENIE | WYCENA'!$H$13;1)</v>
      </c>
      <c r="X21" s="646">
        <f t="shared" ca="1" si="11"/>
        <v>10</v>
      </c>
      <c r="Y21" s="646">
        <f t="shared" ca="1" si="12"/>
        <v>35</v>
      </c>
      <c r="Z21" s="646" t="str">
        <f t="shared" ca="1" si="13"/>
        <v>'ZAMÓWIENIE | WYCENA'!C41</v>
      </c>
      <c r="AA21" s="647">
        <f t="shared" ca="1" si="14"/>
        <v>50.9</v>
      </c>
      <c r="AB21" s="647">
        <f t="shared" ca="1" si="14"/>
        <v>50.9</v>
      </c>
      <c r="AC21" s="647">
        <f t="shared" ca="1" si="14"/>
        <v>59.9</v>
      </c>
      <c r="AD21" s="646" t="str">
        <f t="shared" si="15"/>
        <v>3341-000-716R-WTA200</v>
      </c>
      <c r="AE21" s="648">
        <f t="shared" ca="1" si="16"/>
        <v>50.9</v>
      </c>
    </row>
    <row r="22" spans="1:31" s="7" customFormat="1" ht="12">
      <c r="A22" s="23">
        <v>21</v>
      </c>
      <c r="B22" s="23" t="str">
        <f>SUBSTITUTE('ZAMÓWIENIE | WYCENA'!C42,"_",'ZAMÓWIENIE | WYCENA'!$H$13,1)</f>
        <v>3341-220-716R-WTA200</v>
      </c>
      <c r="C22" s="15">
        <f>'ZAMÓWIENIE | WYCENA'!H42</f>
        <v>0</v>
      </c>
      <c r="D22" s="14">
        <v>1</v>
      </c>
      <c r="F22" s="16"/>
      <c r="G22" s="16"/>
      <c r="H22" s="24">
        <f>IFERROR(IF(COUNTIFS($H$1:H21,H21)&gt;=VLOOKUP(H21,$A$2:$D$309,4,0),IF(H21=MAX($A$2:$A$317),"",Lista!H21+1),H21),"")</f>
        <v>21</v>
      </c>
      <c r="I22" s="22" t="str">
        <f t="shared" si="0"/>
        <v>3341-220-716R-WTA200</v>
      </c>
      <c r="J22" s="24">
        <f t="shared" si="1"/>
        <v>0</v>
      </c>
      <c r="K22" s="25">
        <f t="shared" si="17"/>
        <v>0</v>
      </c>
      <c r="L22" s="26">
        <f t="shared" si="18"/>
        <v>0</v>
      </c>
      <c r="M22" s="26">
        <f t="shared" si="4"/>
        <v>0</v>
      </c>
      <c r="N22" s="26" t="str">
        <f t="shared" si="5"/>
        <v>SHO</v>
      </c>
      <c r="O22" s="26" t="str">
        <f t="shared" si="6"/>
        <v>IPT</v>
      </c>
      <c r="P22" s="25" t="str">
        <f t="shared" ca="1" si="7"/>
        <v>ND260415_0</v>
      </c>
      <c r="Q22" s="27" t="str">
        <f t="shared" ca="1" si="19"/>
        <v>2026-04-15</v>
      </c>
      <c r="R22" s="26" t="str">
        <f t="shared" si="20"/>
        <v>PLN</v>
      </c>
      <c r="S22" s="23" t="str">
        <f>IF(H22=1,VLOOKUP(COUNTIF($H$2:H22,H22),Specyfikacja!$A$5:$D$99,2,0),IF(H22=2,VLOOKUP(COUNTIF($H$2:H22,H22),Specyfikacja!$A$5:$K$99,9,0),""))</f>
        <v/>
      </c>
      <c r="T22" s="23" t="str">
        <f>IF(H22=1,VLOOKUP(COUNTIF($H$2:H22,H22),Specyfikacja!$A$5:$D$99,3,0),IF(H22=2,VLOOKUP(COUNTIF($H$2:H22,H22),Specyfikacja!$A$5:$K$99,10,0),""))</f>
        <v/>
      </c>
      <c r="U22" s="23" t="str">
        <f>SUBSTITUTE(SUBSTITUTE(IF(H22=1,VLOOKUP(COUNTIF($H$2:H22,H22),Specyfikacja!$A$5:$D$99,4,0),IF(H22=2,VLOOKUP(COUNTIF($H$2:H22,H22),Specyfikacja!$A$5:$K$99,11,0),"")),"Tak","YES"),"Nie","NO")</f>
        <v/>
      </c>
      <c r="W22" s="646" t="str">
        <f t="shared" ca="1" si="10"/>
        <v>=PODSTAW('ZAMÓWIENIE | WYCENA'!C42;"_";'ZAMÓWIENIE | WYCENA'!$H$13;1)</v>
      </c>
      <c r="X22" s="646">
        <f t="shared" ca="1" si="11"/>
        <v>10</v>
      </c>
      <c r="Y22" s="646">
        <f t="shared" ca="1" si="12"/>
        <v>35</v>
      </c>
      <c r="Z22" s="646" t="str">
        <f t="shared" ca="1" si="13"/>
        <v>'ZAMÓWIENIE | WYCENA'!C42</v>
      </c>
      <c r="AA22" s="647">
        <f t="shared" ca="1" si="14"/>
        <v>45.5</v>
      </c>
      <c r="AB22" s="647">
        <f t="shared" ca="1" si="14"/>
        <v>45.5</v>
      </c>
      <c r="AC22" s="647">
        <f t="shared" ca="1" si="14"/>
        <v>53.5</v>
      </c>
      <c r="AD22" s="646" t="str">
        <f t="shared" si="15"/>
        <v>3341-220-716R-WTA200</v>
      </c>
      <c r="AE22" s="648">
        <f t="shared" ca="1" si="16"/>
        <v>45.5</v>
      </c>
    </row>
    <row r="23" spans="1:31" s="7" customFormat="1" ht="12">
      <c r="A23" s="23">
        <v>22</v>
      </c>
      <c r="B23" s="23" t="str">
        <f>SUBSTITUTE('ZAMÓWIENIE | WYCENA'!C43,"_",'ZAMÓWIENIE | WYCENA'!$H$13,1)</f>
        <v>3331-000-716R-WTP200</v>
      </c>
      <c r="C23" s="15">
        <f>'ZAMÓWIENIE | WYCENA'!H43</f>
        <v>0</v>
      </c>
      <c r="D23" s="14">
        <v>1</v>
      </c>
      <c r="F23" s="16"/>
      <c r="G23" s="16"/>
      <c r="H23" s="24">
        <f>IFERROR(IF(COUNTIFS($H$1:H22,H22)&gt;=VLOOKUP(H22,$A$2:$D$309,4,0),IF(H22=MAX($A$2:$A$317),"",Lista!H22+1),H22),"")</f>
        <v>22</v>
      </c>
      <c r="I23" s="22" t="str">
        <f t="shared" si="0"/>
        <v>3331-000-716R-WTP200</v>
      </c>
      <c r="J23" s="24">
        <f t="shared" si="1"/>
        <v>0</v>
      </c>
      <c r="K23" s="25">
        <f t="shared" si="17"/>
        <v>0</v>
      </c>
      <c r="L23" s="26">
        <f t="shared" si="18"/>
        <v>0</v>
      </c>
      <c r="M23" s="26">
        <f t="shared" si="4"/>
        <v>0</v>
      </c>
      <c r="N23" s="26" t="str">
        <f t="shared" si="5"/>
        <v>SHO</v>
      </c>
      <c r="O23" s="26" t="str">
        <f t="shared" si="6"/>
        <v>IPT</v>
      </c>
      <c r="P23" s="25" t="str">
        <f t="shared" ca="1" si="7"/>
        <v>ND260415_0</v>
      </c>
      <c r="Q23" s="27" t="str">
        <f t="shared" ca="1" si="19"/>
        <v>2026-04-15</v>
      </c>
      <c r="R23" s="26" t="str">
        <f t="shared" si="20"/>
        <v>PLN</v>
      </c>
      <c r="S23" s="23" t="str">
        <f>IF(H23=1,VLOOKUP(COUNTIF($H$2:H23,H23),Specyfikacja!$A$5:$D$99,2,0),IF(H23=2,VLOOKUP(COUNTIF($H$2:H23,H23),Specyfikacja!$A$5:$K$99,9,0),""))</f>
        <v/>
      </c>
      <c r="T23" s="23" t="str">
        <f>IF(H23=1,VLOOKUP(COUNTIF($H$2:H23,H23),Specyfikacja!$A$5:$D$99,3,0),IF(H23=2,VLOOKUP(COUNTIF($H$2:H23,H23),Specyfikacja!$A$5:$K$99,10,0),""))</f>
        <v/>
      </c>
      <c r="U23" s="23" t="str">
        <f>SUBSTITUTE(SUBSTITUTE(IF(H23=1,VLOOKUP(COUNTIF($H$2:H23,H23),Specyfikacja!$A$5:$D$99,4,0),IF(H23=2,VLOOKUP(COUNTIF($H$2:H23,H23),Specyfikacja!$A$5:$K$99,11,0),"")),"Tak","YES"),"Nie","NO")</f>
        <v/>
      </c>
      <c r="W23" s="646" t="str">
        <f t="shared" ca="1" si="10"/>
        <v>=PODSTAW('ZAMÓWIENIE | WYCENA'!C43;"_";'ZAMÓWIENIE | WYCENA'!$H$13;1)</v>
      </c>
      <c r="X23" s="646">
        <f t="shared" ca="1" si="11"/>
        <v>10</v>
      </c>
      <c r="Y23" s="646">
        <f t="shared" ca="1" si="12"/>
        <v>35</v>
      </c>
      <c r="Z23" s="646" t="str">
        <f t="shared" ca="1" si="13"/>
        <v>'ZAMÓWIENIE | WYCENA'!C43</v>
      </c>
      <c r="AA23" s="647">
        <f t="shared" ca="1" si="14"/>
        <v>37.299999999999997</v>
      </c>
      <c r="AB23" s="647">
        <f t="shared" ca="1" si="14"/>
        <v>37.299999999999997</v>
      </c>
      <c r="AC23" s="647">
        <f t="shared" ca="1" si="14"/>
        <v>43.9</v>
      </c>
      <c r="AD23" s="646" t="str">
        <f t="shared" si="15"/>
        <v>3331-000-716R-WTP200</v>
      </c>
      <c r="AE23" s="648">
        <f t="shared" ca="1" si="16"/>
        <v>37.299999999999997</v>
      </c>
    </row>
    <row r="24" spans="1:31" s="7" customFormat="1" ht="12">
      <c r="A24" s="23">
        <v>23</v>
      </c>
      <c r="B24" s="23" t="str">
        <f>SUBSTITUTE('ZAMÓWIENIE | WYCENA'!C44,"_",'ZAMÓWIENIE | WYCENA'!$H$13,1)</f>
        <v>3340-000-716R-LSP027</v>
      </c>
      <c r="C24" s="15">
        <f>'ZAMÓWIENIE | WYCENA'!H44</f>
        <v>0</v>
      </c>
      <c r="D24" s="14">
        <v>1</v>
      </c>
      <c r="F24" s="16"/>
      <c r="G24" s="16"/>
      <c r="H24" s="24">
        <f>IFERROR(IF(COUNTIFS($H$1:H23,H23)&gt;=VLOOKUP(H23,$A$2:$D$309,4,0),IF(H23=MAX($A$2:$A$317),"",Lista!H23+1),H23),"")</f>
        <v>23</v>
      </c>
      <c r="I24" s="22" t="str">
        <f t="shared" si="0"/>
        <v>3340-000-716R-LSP027</v>
      </c>
      <c r="J24" s="24">
        <f t="shared" si="1"/>
        <v>0</v>
      </c>
      <c r="K24" s="25">
        <f t="shared" si="17"/>
        <v>0</v>
      </c>
      <c r="L24" s="26">
        <f t="shared" si="18"/>
        <v>0</v>
      </c>
      <c r="M24" s="26">
        <f t="shared" si="4"/>
        <v>0</v>
      </c>
      <c r="N24" s="26" t="str">
        <f t="shared" si="5"/>
        <v>SHO</v>
      </c>
      <c r="O24" s="26" t="str">
        <f t="shared" si="6"/>
        <v>IPT</v>
      </c>
      <c r="P24" s="25" t="str">
        <f t="shared" ca="1" si="7"/>
        <v>ND260415_0</v>
      </c>
      <c r="Q24" s="27" t="str">
        <f t="shared" ca="1" si="19"/>
        <v>2026-04-15</v>
      </c>
      <c r="R24" s="26" t="str">
        <f t="shared" si="20"/>
        <v>PLN</v>
      </c>
      <c r="S24" s="23" t="str">
        <f>IF(H24=1,VLOOKUP(COUNTIF($H$2:H24,H24),Specyfikacja!$A$5:$D$99,2,0),IF(H24=2,VLOOKUP(COUNTIF($H$2:H24,H24),Specyfikacja!$A$5:$K$99,9,0),""))</f>
        <v/>
      </c>
      <c r="T24" s="23" t="str">
        <f>IF(H24=1,VLOOKUP(COUNTIF($H$2:H24,H24),Specyfikacja!$A$5:$D$99,3,0),IF(H24=2,VLOOKUP(COUNTIF($H$2:H24,H24),Specyfikacja!$A$5:$K$99,10,0),""))</f>
        <v/>
      </c>
      <c r="U24" s="23" t="str">
        <f>SUBSTITUTE(SUBSTITUTE(IF(H24=1,VLOOKUP(COUNTIF($H$2:H24,H24),Specyfikacja!$A$5:$D$99,4,0),IF(H24=2,VLOOKUP(COUNTIF($H$2:H24,H24),Specyfikacja!$A$5:$K$99,11,0),"")),"Tak","YES"),"Nie","NO")</f>
        <v/>
      </c>
      <c r="W24" s="646" t="str">
        <f t="shared" ca="1" si="10"/>
        <v>=PODSTAW('ZAMÓWIENIE | WYCENA'!C44;"_";'ZAMÓWIENIE | WYCENA'!$H$13;1)</v>
      </c>
      <c r="X24" s="646">
        <f t="shared" ca="1" si="11"/>
        <v>10</v>
      </c>
      <c r="Y24" s="646">
        <f t="shared" ca="1" si="12"/>
        <v>35</v>
      </c>
      <c r="Z24" s="646" t="str">
        <f t="shared" ca="1" si="13"/>
        <v>'ZAMÓWIENIE | WYCENA'!C44</v>
      </c>
      <c r="AA24" s="647">
        <f t="shared" ca="1" si="14"/>
        <v>12.7</v>
      </c>
      <c r="AB24" s="647">
        <f t="shared" ca="1" si="14"/>
        <v>12.7</v>
      </c>
      <c r="AC24" s="647">
        <f t="shared" ca="1" si="14"/>
        <v>14.9</v>
      </c>
      <c r="AD24" s="646" t="str">
        <f t="shared" si="15"/>
        <v>3340-000-716R-LSP027</v>
      </c>
      <c r="AE24" s="648">
        <f t="shared" ca="1" si="16"/>
        <v>12.7</v>
      </c>
    </row>
    <row r="25" spans="1:31" s="7" customFormat="1" ht="12">
      <c r="A25" s="23">
        <v>24</v>
      </c>
      <c r="B25" s="23" t="str">
        <f>SUBSTITUTE('ZAMÓWIENIE | WYCENA'!C45,"_",'ZAMÓWIENIE | WYCENA'!$H$13,1)</f>
        <v>3340-000-716R-LSP048</v>
      </c>
      <c r="C25" s="15">
        <f>'ZAMÓWIENIE | WYCENA'!H45</f>
        <v>0</v>
      </c>
      <c r="D25" s="14">
        <v>1</v>
      </c>
      <c r="F25" s="16"/>
      <c r="G25" s="16"/>
      <c r="H25" s="24">
        <f>IFERROR(IF(COUNTIFS($H$1:H24,H24)&gt;=VLOOKUP(H24,$A$2:$D$309,4,0),IF(H24=MAX($A$2:$A$317),"",Lista!H24+1),H24),"")</f>
        <v>24</v>
      </c>
      <c r="I25" s="22" t="str">
        <f t="shared" si="0"/>
        <v>3340-000-716R-LSP048</v>
      </c>
      <c r="J25" s="24">
        <f t="shared" si="1"/>
        <v>0</v>
      </c>
      <c r="K25" s="25">
        <f t="shared" si="17"/>
        <v>0</v>
      </c>
      <c r="L25" s="26">
        <f t="shared" si="18"/>
        <v>0</v>
      </c>
      <c r="M25" s="26">
        <f t="shared" si="4"/>
        <v>0</v>
      </c>
      <c r="N25" s="26" t="str">
        <f t="shared" si="5"/>
        <v>SHO</v>
      </c>
      <c r="O25" s="26" t="str">
        <f t="shared" si="6"/>
        <v>IPT</v>
      </c>
      <c r="P25" s="25" t="str">
        <f t="shared" ca="1" si="7"/>
        <v>ND260415_0</v>
      </c>
      <c r="Q25" s="27" t="str">
        <f t="shared" ca="1" si="19"/>
        <v>2026-04-15</v>
      </c>
      <c r="R25" s="26" t="str">
        <f t="shared" si="20"/>
        <v>PLN</v>
      </c>
      <c r="S25" s="23" t="str">
        <f>IF(H25=1,VLOOKUP(COUNTIF($H$2:H25,H25),Specyfikacja!$A$5:$D$99,2,0),IF(H25=2,VLOOKUP(COUNTIF($H$2:H25,H25),Specyfikacja!$A$5:$K$99,9,0),""))</f>
        <v/>
      </c>
      <c r="T25" s="23" t="str">
        <f>IF(H25=1,VLOOKUP(COUNTIF($H$2:H25,H25),Specyfikacja!$A$5:$D$99,3,0),IF(H25=2,VLOOKUP(COUNTIF($H$2:H25,H25),Specyfikacja!$A$5:$K$99,10,0),""))</f>
        <v/>
      </c>
      <c r="U25" s="23" t="str">
        <f>SUBSTITUTE(SUBSTITUTE(IF(H25=1,VLOOKUP(COUNTIF($H$2:H25,H25),Specyfikacja!$A$5:$D$99,4,0),IF(H25=2,VLOOKUP(COUNTIF($H$2:H25,H25),Specyfikacja!$A$5:$K$99,11,0),"")),"Tak","YES"),"Nie","NO")</f>
        <v/>
      </c>
      <c r="W25" s="646" t="str">
        <f t="shared" ca="1" si="10"/>
        <v>=PODSTAW('ZAMÓWIENIE | WYCENA'!C45;"_";'ZAMÓWIENIE | WYCENA'!$H$13;1)</v>
      </c>
      <c r="X25" s="646">
        <f t="shared" ca="1" si="11"/>
        <v>10</v>
      </c>
      <c r="Y25" s="646">
        <f t="shared" ca="1" si="12"/>
        <v>35</v>
      </c>
      <c r="Z25" s="646" t="str">
        <f t="shared" ca="1" si="13"/>
        <v>'ZAMÓWIENIE | WYCENA'!C45</v>
      </c>
      <c r="AA25" s="647">
        <f t="shared" ca="1" si="14"/>
        <v>16.899999999999999</v>
      </c>
      <c r="AB25" s="647">
        <f t="shared" ca="1" si="14"/>
        <v>16.899999999999999</v>
      </c>
      <c r="AC25" s="647">
        <f t="shared" ca="1" si="14"/>
        <v>19.899999999999999</v>
      </c>
      <c r="AD25" s="646" t="str">
        <f t="shared" si="15"/>
        <v>3340-000-716R-LSP048</v>
      </c>
      <c r="AE25" s="648">
        <f t="shared" ca="1" si="16"/>
        <v>16.899999999999999</v>
      </c>
    </row>
    <row r="26" spans="1:31" s="7" customFormat="1" ht="12">
      <c r="A26" s="23">
        <v>25</v>
      </c>
      <c r="B26" s="23" t="str">
        <f>SUBSTITUTE('ZAMÓWIENIE | WYCENA'!C46,"_",'ZAMÓWIENIE | WYCENA'!$H$13,1)</f>
        <v>3340-000-716R-LSP200</v>
      </c>
      <c r="C26" s="15">
        <f>'ZAMÓWIENIE | WYCENA'!H46</f>
        <v>0</v>
      </c>
      <c r="D26" s="14">
        <v>1</v>
      </c>
      <c r="F26" s="16"/>
      <c r="G26" s="16"/>
      <c r="H26" s="24">
        <f>IFERROR(IF(COUNTIFS($H$1:H25,H25)&gt;=VLOOKUP(H25,$A$2:$D$309,4,0),IF(H25=MAX($A$2:$A$317),"",Lista!H25+1),H25),"")</f>
        <v>25</v>
      </c>
      <c r="I26" s="22" t="str">
        <f t="shared" si="0"/>
        <v>3340-000-716R-LSP200</v>
      </c>
      <c r="J26" s="24">
        <f t="shared" si="1"/>
        <v>0</v>
      </c>
      <c r="K26" s="25">
        <f t="shared" si="17"/>
        <v>0</v>
      </c>
      <c r="L26" s="26">
        <f t="shared" si="18"/>
        <v>0</v>
      </c>
      <c r="M26" s="26">
        <f t="shared" si="4"/>
        <v>0</v>
      </c>
      <c r="N26" s="26" t="str">
        <f t="shared" si="5"/>
        <v>SHO</v>
      </c>
      <c r="O26" s="26" t="str">
        <f t="shared" si="6"/>
        <v>IPT</v>
      </c>
      <c r="P26" s="25" t="str">
        <f t="shared" ca="1" si="7"/>
        <v>ND260415_0</v>
      </c>
      <c r="Q26" s="27" t="str">
        <f t="shared" ca="1" si="19"/>
        <v>2026-04-15</v>
      </c>
      <c r="R26" s="26" t="str">
        <f t="shared" si="20"/>
        <v>PLN</v>
      </c>
      <c r="S26" s="23" t="str">
        <f>IF(H26=1,VLOOKUP(COUNTIF($H$2:H26,H26),Specyfikacja!$A$5:$D$99,2,0),IF(H26=2,VLOOKUP(COUNTIF($H$2:H26,H26),Specyfikacja!$A$5:$K$99,9,0),""))</f>
        <v/>
      </c>
      <c r="T26" s="23" t="str">
        <f>IF(H26=1,VLOOKUP(COUNTIF($H$2:H26,H26),Specyfikacja!$A$5:$D$99,3,0),IF(H26=2,VLOOKUP(COUNTIF($H$2:H26,H26),Specyfikacja!$A$5:$K$99,10,0),""))</f>
        <v/>
      </c>
      <c r="U26" s="23" t="str">
        <f>SUBSTITUTE(SUBSTITUTE(IF(H26=1,VLOOKUP(COUNTIF($H$2:H26,H26),Specyfikacja!$A$5:$D$99,4,0),IF(H26=2,VLOOKUP(COUNTIF($H$2:H26,H26),Specyfikacja!$A$5:$K$99,11,0),"")),"Tak","YES"),"Nie","NO")</f>
        <v/>
      </c>
      <c r="W26" s="646" t="str">
        <f t="shared" ca="1" si="10"/>
        <v>=PODSTAW('ZAMÓWIENIE | WYCENA'!C46;"_";'ZAMÓWIENIE | WYCENA'!$H$13;1)</v>
      </c>
      <c r="X26" s="646">
        <f t="shared" ca="1" si="11"/>
        <v>10</v>
      </c>
      <c r="Y26" s="646">
        <f t="shared" ca="1" si="12"/>
        <v>35</v>
      </c>
      <c r="Z26" s="646" t="str">
        <f t="shared" ca="1" si="13"/>
        <v>'ZAMÓWIENIE | WYCENA'!C46</v>
      </c>
      <c r="AA26" s="647">
        <f t="shared" ca="1" si="14"/>
        <v>62.8</v>
      </c>
      <c r="AB26" s="647">
        <f t="shared" ca="1" si="14"/>
        <v>62.8</v>
      </c>
      <c r="AC26" s="647">
        <f t="shared" ca="1" si="14"/>
        <v>73.900000000000006</v>
      </c>
      <c r="AD26" s="646" t="str">
        <f t="shared" si="15"/>
        <v>3340-000-716R-LSP200</v>
      </c>
      <c r="AE26" s="648">
        <f t="shared" ca="1" si="16"/>
        <v>62.8</v>
      </c>
    </row>
    <row r="27" spans="1:31" s="7" customFormat="1" ht="12">
      <c r="A27" s="23">
        <v>26</v>
      </c>
      <c r="B27" s="23" t="s">
        <v>322</v>
      </c>
      <c r="C27" s="15">
        <f>'ZAMÓWIENIE | WYCENA'!I32</f>
        <v>0</v>
      </c>
      <c r="D27" s="14">
        <v>1</v>
      </c>
      <c r="F27" s="16"/>
      <c r="G27" s="16"/>
      <c r="H27" s="24">
        <f>IFERROR(IF(COUNTIFS($H$1:H26,H26)&gt;=VLOOKUP(H26,$A$2:$D$309,4,0),IF(H26=MAX($A$2:$A$317),"",Lista!H26+1),H26),"")</f>
        <v>26</v>
      </c>
      <c r="I27" s="22" t="str">
        <f t="shared" si="0"/>
        <v>3330-125-905R-BPF000</v>
      </c>
      <c r="J27" s="24">
        <f t="shared" si="1"/>
        <v>0</v>
      </c>
      <c r="K27" s="25">
        <f t="shared" si="17"/>
        <v>0</v>
      </c>
      <c r="L27" s="26">
        <f t="shared" si="18"/>
        <v>0</v>
      </c>
      <c r="M27" s="26">
        <f t="shared" si="4"/>
        <v>0</v>
      </c>
      <c r="N27" s="26" t="str">
        <f t="shared" si="5"/>
        <v>SHO</v>
      </c>
      <c r="O27" s="26" t="str">
        <f t="shared" si="6"/>
        <v>IPT</v>
      </c>
      <c r="P27" s="25" t="str">
        <f t="shared" ca="1" si="7"/>
        <v>ND260415_0</v>
      </c>
      <c r="Q27" s="27" t="str">
        <f t="shared" ca="1" si="19"/>
        <v>2026-04-15</v>
      </c>
      <c r="R27" s="26" t="str">
        <f t="shared" si="20"/>
        <v>PLN</v>
      </c>
      <c r="S27" s="23" t="str">
        <f>IF(H27=1,VLOOKUP(COUNTIF($H$2:H27,H27),Specyfikacja!$A$5:$D$99,2,0),IF(H27=2,VLOOKUP(COUNTIF($H$2:H27,H27),Specyfikacja!$A$5:$K$99,9,0),""))</f>
        <v/>
      </c>
      <c r="T27" s="23" t="str">
        <f>IF(H27=1,VLOOKUP(COUNTIF($H$2:H27,H27),Specyfikacja!$A$5:$D$99,3,0),IF(H27=2,VLOOKUP(COUNTIF($H$2:H27,H27),Specyfikacja!$A$5:$K$99,10,0),""))</f>
        <v/>
      </c>
      <c r="U27" s="23" t="str">
        <f>SUBSTITUTE(SUBSTITUTE(IF(H27=1,VLOOKUP(COUNTIF($H$2:H27,H27),Specyfikacja!$A$5:$D$99,4,0),IF(H27=2,VLOOKUP(COUNTIF($H$2:H27,H27),Specyfikacja!$A$5:$K$99,11,0),"")),"Tak","YES"),"Nie","NO")</f>
        <v/>
      </c>
      <c r="W27" s="646"/>
      <c r="X27" s="646"/>
      <c r="Y27" s="646"/>
      <c r="Z27" s="646"/>
      <c r="AA27" s="647"/>
      <c r="AB27" s="647"/>
      <c r="AC27" s="647"/>
      <c r="AD27" s="646"/>
      <c r="AE27" s="648"/>
    </row>
    <row r="28" spans="1:31" s="7" customFormat="1" ht="12">
      <c r="A28" s="23">
        <v>27</v>
      </c>
      <c r="B28" s="23" t="str">
        <f>SUBSTITUTE('ZAMÓWIENIE | WYCENA'!C37,"_",'ZAMÓWIENIE | WYCENA'!$I$13,1)</f>
        <v>3341-220-905R-GSR200</v>
      </c>
      <c r="C28" s="15">
        <f>'ZAMÓWIENIE | WYCENA'!I37</f>
        <v>0</v>
      </c>
      <c r="D28" s="14">
        <v>1</v>
      </c>
      <c r="F28" s="16"/>
      <c r="G28" s="16"/>
      <c r="H28" s="24">
        <f>IFERROR(IF(COUNTIFS($H$1:H27,H27)&gt;=VLOOKUP(H27,$A$2:$D$309,4,0),IF(H27=MAX($A$2:$A$317),"",Lista!H27+1),H27),"")</f>
        <v>27</v>
      </c>
      <c r="I28" s="22" t="str">
        <f t="shared" si="0"/>
        <v>3341-220-905R-GSR200</v>
      </c>
      <c r="J28" s="24">
        <f t="shared" si="1"/>
        <v>0</v>
      </c>
      <c r="K28" s="25">
        <f t="shared" si="17"/>
        <v>0</v>
      </c>
      <c r="L28" s="26">
        <f t="shared" si="18"/>
        <v>0</v>
      </c>
      <c r="M28" s="26">
        <f t="shared" si="4"/>
        <v>0</v>
      </c>
      <c r="N28" s="26" t="str">
        <f t="shared" si="5"/>
        <v>SHO</v>
      </c>
      <c r="O28" s="26" t="str">
        <f t="shared" si="6"/>
        <v>IPT</v>
      </c>
      <c r="P28" s="25" t="str">
        <f t="shared" ca="1" si="7"/>
        <v>ND260415_0</v>
      </c>
      <c r="Q28" s="27" t="str">
        <f t="shared" ca="1" si="19"/>
        <v>2026-04-15</v>
      </c>
      <c r="R28" s="26" t="str">
        <f t="shared" si="20"/>
        <v>PLN</v>
      </c>
      <c r="S28" s="23" t="str">
        <f>IF(H28=1,VLOOKUP(COUNTIF($H$2:H28,H28),Specyfikacja!$A$5:$D$99,2,0),IF(H28=2,VLOOKUP(COUNTIF($H$2:H28,H28),Specyfikacja!$A$5:$K$99,9,0),""))</f>
        <v/>
      </c>
      <c r="T28" s="23" t="str">
        <f>IF(H28=1,VLOOKUP(COUNTIF($H$2:H28,H28),Specyfikacja!$A$5:$D$99,3,0),IF(H28=2,VLOOKUP(COUNTIF($H$2:H28,H28),Specyfikacja!$A$5:$K$99,10,0),""))</f>
        <v/>
      </c>
      <c r="U28" s="23" t="str">
        <f>SUBSTITUTE(SUBSTITUTE(IF(H28=1,VLOOKUP(COUNTIF($H$2:H28,H28),Specyfikacja!$A$5:$D$99,4,0),IF(H28=2,VLOOKUP(COUNTIF($H$2:H28,H28),Specyfikacja!$A$5:$K$99,11,0),"")),"Tak","YES"),"Nie","NO")</f>
        <v/>
      </c>
      <c r="W28" s="646" t="str">
        <f t="shared" ca="1" si="10"/>
        <v>=PODSTAW('ZAMÓWIENIE | WYCENA'!C37;"_";'ZAMÓWIENIE | WYCENA'!$I$13;1)</v>
      </c>
      <c r="X28" s="646">
        <f t="shared" ca="1" si="11"/>
        <v>10</v>
      </c>
      <c r="Y28" s="646">
        <f t="shared" ca="1" si="12"/>
        <v>35</v>
      </c>
      <c r="Z28" s="646" t="str">
        <f t="shared" ca="1" si="13"/>
        <v>'ZAMÓWIENIE | WYCENA'!C37</v>
      </c>
      <c r="AA28" s="647">
        <f t="shared" ca="1" si="14"/>
        <v>59</v>
      </c>
      <c r="AB28" s="647">
        <f t="shared" ca="1" si="14"/>
        <v>59</v>
      </c>
      <c r="AC28" s="647">
        <f t="shared" ca="1" si="14"/>
        <v>69.400000000000006</v>
      </c>
      <c r="AD28" s="646" t="str">
        <f t="shared" si="15"/>
        <v>3341-220-905R-GSR200</v>
      </c>
      <c r="AE28" s="648">
        <f t="shared" ca="1" si="16"/>
        <v>59</v>
      </c>
    </row>
    <row r="29" spans="1:31" s="7" customFormat="1" ht="12">
      <c r="A29" s="23">
        <v>28</v>
      </c>
      <c r="B29" s="23" t="str">
        <f>SUBSTITUTE('ZAMÓWIENIE | WYCENA'!C38,"_",'ZAMÓWIENIE | WYCENA'!$I$13,1)</f>
        <v>3341-293-905R-GSR200</v>
      </c>
      <c r="C29" s="15">
        <f>'ZAMÓWIENIE | WYCENA'!I38</f>
        <v>0</v>
      </c>
      <c r="D29" s="14">
        <v>1</v>
      </c>
      <c r="F29" s="16"/>
      <c r="G29" s="16"/>
      <c r="H29" s="24">
        <f>IFERROR(IF(COUNTIFS($H$1:H28,H28)&gt;=VLOOKUP(H28,$A$2:$D$309,4,0),IF(H28=MAX($A$2:$A$317),"",Lista!H28+1),H28),"")</f>
        <v>28</v>
      </c>
      <c r="I29" s="22" t="str">
        <f t="shared" si="0"/>
        <v>3341-293-905R-GSR200</v>
      </c>
      <c r="J29" s="24">
        <f t="shared" si="1"/>
        <v>0</v>
      </c>
      <c r="K29" s="25">
        <f t="shared" si="17"/>
        <v>0</v>
      </c>
      <c r="L29" s="26">
        <f t="shared" si="18"/>
        <v>0</v>
      </c>
      <c r="M29" s="26">
        <f t="shared" si="4"/>
        <v>0</v>
      </c>
      <c r="N29" s="26" t="str">
        <f t="shared" si="5"/>
        <v>SHO</v>
      </c>
      <c r="O29" s="26" t="str">
        <f t="shared" si="6"/>
        <v>IPT</v>
      </c>
      <c r="P29" s="25" t="str">
        <f t="shared" ca="1" si="7"/>
        <v>ND260415_0</v>
      </c>
      <c r="Q29" s="27" t="str">
        <f t="shared" ca="1" si="19"/>
        <v>2026-04-15</v>
      </c>
      <c r="R29" s="26" t="str">
        <f t="shared" si="20"/>
        <v>PLN</v>
      </c>
      <c r="S29" s="23" t="str">
        <f>IF(H29=1,VLOOKUP(COUNTIF($H$2:H29,H29),Specyfikacja!$A$5:$D$99,2,0),IF(H29=2,VLOOKUP(COUNTIF($H$2:H29,H29),Specyfikacja!$A$5:$K$99,9,0),""))</f>
        <v/>
      </c>
      <c r="T29" s="23" t="str">
        <f>IF(H29=1,VLOOKUP(COUNTIF($H$2:H29,H29),Specyfikacja!$A$5:$D$99,3,0),IF(H29=2,VLOOKUP(COUNTIF($H$2:H29,H29),Specyfikacja!$A$5:$K$99,10,0),""))</f>
        <v/>
      </c>
      <c r="U29" s="23" t="str">
        <f>SUBSTITUTE(SUBSTITUTE(IF(H29=1,VLOOKUP(COUNTIF($H$2:H29,H29),Specyfikacja!$A$5:$D$99,4,0),IF(H29=2,VLOOKUP(COUNTIF($H$2:H29,H29),Specyfikacja!$A$5:$K$99,11,0),"")),"Tak","YES"),"Nie","NO")</f>
        <v/>
      </c>
      <c r="W29" s="646" t="str">
        <f t="shared" ca="1" si="10"/>
        <v>=PODSTAW('ZAMÓWIENIE | WYCENA'!C38;"_";'ZAMÓWIENIE | WYCENA'!$I$13;1)</v>
      </c>
      <c r="X29" s="646">
        <f t="shared" ca="1" si="11"/>
        <v>10</v>
      </c>
      <c r="Y29" s="646">
        <f t="shared" ca="1" si="12"/>
        <v>35</v>
      </c>
      <c r="Z29" s="646" t="str">
        <f t="shared" ca="1" si="13"/>
        <v>'ZAMÓWIENIE | WYCENA'!C38</v>
      </c>
      <c r="AA29" s="647">
        <f t="shared" ca="1" si="14"/>
        <v>62.2</v>
      </c>
      <c r="AB29" s="647">
        <f t="shared" ca="1" si="14"/>
        <v>62.2</v>
      </c>
      <c r="AC29" s="647">
        <f t="shared" ca="1" si="14"/>
        <v>73.2</v>
      </c>
      <c r="AD29" s="646" t="str">
        <f t="shared" si="15"/>
        <v>3341-293-905R-GSR200</v>
      </c>
      <c r="AE29" s="648">
        <f t="shared" ca="1" si="16"/>
        <v>62.2</v>
      </c>
    </row>
    <row r="30" spans="1:31" s="7" customFormat="1" ht="12">
      <c r="A30" s="23">
        <v>29</v>
      </c>
      <c r="B30" s="23" t="str">
        <f>SUBSTITUTE('ZAMÓWIENIE | WYCENA'!C39,"_",'ZAMÓWIENIE | WYCENA'!$I$13,1)</f>
        <v>3341-000-905R-PSN200</v>
      </c>
      <c r="C30" s="15">
        <f>'ZAMÓWIENIE | WYCENA'!I39</f>
        <v>0</v>
      </c>
      <c r="D30" s="14">
        <v>1</v>
      </c>
      <c r="F30" s="16"/>
      <c r="G30" s="16"/>
      <c r="H30" s="24">
        <f>IFERROR(IF(COUNTIFS($H$1:H29,H29)&gt;=VLOOKUP(H29,$A$2:$D$309,4,0),IF(H29=MAX($A$2:$A$317),"",Lista!H29+1),H29),"")</f>
        <v>29</v>
      </c>
      <c r="I30" s="22" t="str">
        <f t="shared" si="0"/>
        <v>3341-000-905R-PSN200</v>
      </c>
      <c r="J30" s="24">
        <f t="shared" si="1"/>
        <v>0</v>
      </c>
      <c r="K30" s="25">
        <f t="shared" si="17"/>
        <v>0</v>
      </c>
      <c r="L30" s="26">
        <f t="shared" si="18"/>
        <v>0</v>
      </c>
      <c r="M30" s="26">
        <f t="shared" si="4"/>
        <v>0</v>
      </c>
      <c r="N30" s="26" t="str">
        <f t="shared" si="5"/>
        <v>SHO</v>
      </c>
      <c r="O30" s="26" t="str">
        <f t="shared" si="6"/>
        <v>IPT</v>
      </c>
      <c r="P30" s="25" t="str">
        <f t="shared" ca="1" si="7"/>
        <v>ND260415_0</v>
      </c>
      <c r="Q30" s="27" t="str">
        <f t="shared" ca="1" si="19"/>
        <v>2026-04-15</v>
      </c>
      <c r="R30" s="26" t="str">
        <f t="shared" si="20"/>
        <v>PLN</v>
      </c>
      <c r="S30" s="23" t="str">
        <f>IF(H30=1,VLOOKUP(COUNTIF($H$2:H30,H30),Specyfikacja!$A$5:$D$99,2,0),IF(H30=2,VLOOKUP(COUNTIF($H$2:H30,H30),Specyfikacja!$A$5:$K$99,9,0),""))</f>
        <v/>
      </c>
      <c r="T30" s="23" t="str">
        <f>IF(H30=1,VLOOKUP(COUNTIF($H$2:H30,H30),Specyfikacja!$A$5:$D$99,3,0),IF(H30=2,VLOOKUP(COUNTIF($H$2:H30,H30),Specyfikacja!$A$5:$K$99,10,0),""))</f>
        <v/>
      </c>
      <c r="U30" s="23" t="str">
        <f>SUBSTITUTE(SUBSTITUTE(IF(H30=1,VLOOKUP(COUNTIF($H$2:H30,H30),Specyfikacja!$A$5:$D$99,4,0),IF(H30=2,VLOOKUP(COUNTIF($H$2:H30,H30),Specyfikacja!$A$5:$K$99,11,0),"")),"Tak","YES"),"Nie","NO")</f>
        <v/>
      </c>
      <c r="W30" s="646" t="str">
        <f t="shared" ca="1" si="10"/>
        <v>=PODSTAW('ZAMÓWIENIE | WYCENA'!C39;"_";'ZAMÓWIENIE | WYCENA'!$I$13;1)</v>
      </c>
      <c r="X30" s="646">
        <f t="shared" ca="1" si="11"/>
        <v>10</v>
      </c>
      <c r="Y30" s="646">
        <f t="shared" ca="1" si="12"/>
        <v>35</v>
      </c>
      <c r="Z30" s="646" t="str">
        <f t="shared" ca="1" si="13"/>
        <v>'ZAMÓWIENIE | WYCENA'!C39</v>
      </c>
      <c r="AA30" s="647">
        <f t="shared" ca="1" si="14"/>
        <v>54.3</v>
      </c>
      <c r="AB30" s="647">
        <f t="shared" ca="1" si="14"/>
        <v>54.3</v>
      </c>
      <c r="AC30" s="647">
        <f t="shared" ca="1" si="14"/>
        <v>63.9</v>
      </c>
      <c r="AD30" s="646" t="str">
        <f t="shared" si="15"/>
        <v>3341-000-905R-PSN200</v>
      </c>
      <c r="AE30" s="648">
        <f t="shared" ca="1" si="16"/>
        <v>54.3</v>
      </c>
    </row>
    <row r="31" spans="1:31" s="7" customFormat="1" ht="12">
      <c r="A31" s="23">
        <v>30</v>
      </c>
      <c r="B31" s="23" t="str">
        <f>SUBSTITUTE('ZAMÓWIENIE | WYCENA'!C40,"_",'ZAMÓWIENIE | WYCENA'!$I$13,1)</f>
        <v>3341-000-905R-PSW200</v>
      </c>
      <c r="C31" s="15">
        <f>'ZAMÓWIENIE | WYCENA'!I40</f>
        <v>0</v>
      </c>
      <c r="D31" s="14">
        <v>1</v>
      </c>
      <c r="F31" s="16"/>
      <c r="G31" s="16"/>
      <c r="H31" s="24">
        <f>IFERROR(IF(COUNTIFS($H$1:H30,H30)&gt;=VLOOKUP(H30,$A$2:$D$309,4,0),IF(H30=MAX($A$2:$A$317),"",Lista!H30+1),H30),"")</f>
        <v>30</v>
      </c>
      <c r="I31" s="22" t="str">
        <f t="shared" si="0"/>
        <v>3341-000-905R-PSW200</v>
      </c>
      <c r="J31" s="24">
        <f t="shared" si="1"/>
        <v>0</v>
      </c>
      <c r="K31" s="25">
        <f t="shared" si="17"/>
        <v>0</v>
      </c>
      <c r="L31" s="26">
        <f t="shared" si="18"/>
        <v>0</v>
      </c>
      <c r="M31" s="26">
        <f t="shared" si="4"/>
        <v>0</v>
      </c>
      <c r="N31" s="26" t="str">
        <f t="shared" si="5"/>
        <v>SHO</v>
      </c>
      <c r="O31" s="26" t="str">
        <f t="shared" si="6"/>
        <v>IPT</v>
      </c>
      <c r="P31" s="25" t="str">
        <f t="shared" ca="1" si="7"/>
        <v>ND260415_0</v>
      </c>
      <c r="Q31" s="27" t="str">
        <f t="shared" ca="1" si="19"/>
        <v>2026-04-15</v>
      </c>
      <c r="R31" s="26" t="str">
        <f t="shared" si="20"/>
        <v>PLN</v>
      </c>
      <c r="S31" s="23" t="str">
        <f>IF(H31=1,VLOOKUP(COUNTIF($H$2:H31,H31),Specyfikacja!$A$5:$D$99,2,0),IF(H31=2,VLOOKUP(COUNTIF($H$2:H31,H31),Specyfikacja!$A$5:$K$99,9,0),""))</f>
        <v/>
      </c>
      <c r="T31" s="23" t="str">
        <f>IF(H31=1,VLOOKUP(COUNTIF($H$2:H31,H31),Specyfikacja!$A$5:$D$99,3,0),IF(H31=2,VLOOKUP(COUNTIF($H$2:H31,H31),Specyfikacja!$A$5:$K$99,10,0),""))</f>
        <v/>
      </c>
      <c r="U31" s="23" t="str">
        <f>SUBSTITUTE(SUBSTITUTE(IF(H31=1,VLOOKUP(COUNTIF($H$2:H31,H31),Specyfikacja!$A$5:$D$99,4,0),IF(H31=2,VLOOKUP(COUNTIF($H$2:H31,H31),Specyfikacja!$A$5:$K$99,11,0),"")),"Tak","YES"),"Nie","NO")</f>
        <v/>
      </c>
      <c r="W31" s="646" t="str">
        <f t="shared" ca="1" si="10"/>
        <v>=PODSTAW('ZAMÓWIENIE | WYCENA'!C40;"_";'ZAMÓWIENIE | WYCENA'!$I$13;1)</v>
      </c>
      <c r="X31" s="646">
        <f t="shared" ca="1" si="11"/>
        <v>10</v>
      </c>
      <c r="Y31" s="646">
        <f t="shared" ca="1" si="12"/>
        <v>35</v>
      </c>
      <c r="Z31" s="646" t="str">
        <f t="shared" ca="1" si="13"/>
        <v>'ZAMÓWIENIE | WYCENA'!C40</v>
      </c>
      <c r="AA31" s="647">
        <f t="shared" ca="1" si="14"/>
        <v>89.2</v>
      </c>
      <c r="AB31" s="647">
        <f t="shared" ca="1" si="14"/>
        <v>89.2</v>
      </c>
      <c r="AC31" s="647">
        <f t="shared" ca="1" si="14"/>
        <v>104.9</v>
      </c>
      <c r="AD31" s="646" t="str">
        <f t="shared" si="15"/>
        <v>3341-000-905R-PSW200</v>
      </c>
      <c r="AE31" s="648">
        <f t="shared" ca="1" si="16"/>
        <v>89.2</v>
      </c>
    </row>
    <row r="32" spans="1:31" s="7" customFormat="1" ht="12">
      <c r="A32" s="23">
        <v>31</v>
      </c>
      <c r="B32" s="23" t="str">
        <f>SUBSTITUTE('ZAMÓWIENIE | WYCENA'!C41,"_",'ZAMÓWIENIE | WYCENA'!$I$13,1)</f>
        <v>3341-000-905R-WTA200</v>
      </c>
      <c r="C32" s="15">
        <f>'ZAMÓWIENIE | WYCENA'!I41</f>
        <v>0</v>
      </c>
      <c r="D32" s="14">
        <v>1</v>
      </c>
      <c r="F32" s="16"/>
      <c r="G32" s="16"/>
      <c r="H32" s="24">
        <f>IFERROR(IF(COUNTIFS($H$1:H31,H31)&gt;=VLOOKUP(H31,$A$2:$D$309,4,0),IF(H31=MAX($A$2:$A$317),"",Lista!H31+1),H31),"")</f>
        <v>31</v>
      </c>
      <c r="I32" s="22" t="str">
        <f t="shared" si="0"/>
        <v>3341-000-905R-WTA200</v>
      </c>
      <c r="J32" s="24">
        <f t="shared" si="1"/>
        <v>0</v>
      </c>
      <c r="K32" s="25">
        <f t="shared" si="17"/>
        <v>0</v>
      </c>
      <c r="L32" s="26">
        <f t="shared" si="18"/>
        <v>0</v>
      </c>
      <c r="M32" s="26">
        <f t="shared" si="4"/>
        <v>0</v>
      </c>
      <c r="N32" s="26" t="str">
        <f t="shared" si="5"/>
        <v>SHO</v>
      </c>
      <c r="O32" s="26" t="str">
        <f t="shared" si="6"/>
        <v>IPT</v>
      </c>
      <c r="P32" s="25" t="str">
        <f t="shared" ca="1" si="7"/>
        <v>ND260415_0</v>
      </c>
      <c r="Q32" s="27" t="str">
        <f t="shared" ca="1" si="19"/>
        <v>2026-04-15</v>
      </c>
      <c r="R32" s="26" t="str">
        <f t="shared" si="20"/>
        <v>PLN</v>
      </c>
      <c r="S32" s="23" t="str">
        <f>IF(H32=1,VLOOKUP(COUNTIF($H$2:H32,H32),Specyfikacja!$A$5:$D$99,2,0),IF(H32=2,VLOOKUP(COUNTIF($H$2:H32,H32),Specyfikacja!$A$5:$K$99,9,0),""))</f>
        <v/>
      </c>
      <c r="T32" s="23" t="str">
        <f>IF(H32=1,VLOOKUP(COUNTIF($H$2:H32,H32),Specyfikacja!$A$5:$D$99,3,0),IF(H32=2,VLOOKUP(COUNTIF($H$2:H32,H32),Specyfikacja!$A$5:$K$99,10,0),""))</f>
        <v/>
      </c>
      <c r="U32" s="23" t="str">
        <f>SUBSTITUTE(SUBSTITUTE(IF(H32=1,VLOOKUP(COUNTIF($H$2:H32,H32),Specyfikacja!$A$5:$D$99,4,0),IF(H32=2,VLOOKUP(COUNTIF($H$2:H32,H32),Specyfikacja!$A$5:$K$99,11,0),"")),"Tak","YES"),"Nie","NO")</f>
        <v/>
      </c>
      <c r="W32" s="646" t="str">
        <f t="shared" ca="1" si="10"/>
        <v>=PODSTAW('ZAMÓWIENIE | WYCENA'!C41;"_";'ZAMÓWIENIE | WYCENA'!$I$13;1)</v>
      </c>
      <c r="X32" s="646">
        <f t="shared" ca="1" si="11"/>
        <v>10</v>
      </c>
      <c r="Y32" s="646">
        <f t="shared" ca="1" si="12"/>
        <v>35</v>
      </c>
      <c r="Z32" s="646" t="str">
        <f t="shared" ca="1" si="13"/>
        <v>'ZAMÓWIENIE | WYCENA'!C41</v>
      </c>
      <c r="AA32" s="647">
        <f t="shared" ca="1" si="14"/>
        <v>50.9</v>
      </c>
      <c r="AB32" s="647">
        <f t="shared" ca="1" si="14"/>
        <v>50.9</v>
      </c>
      <c r="AC32" s="647">
        <f t="shared" ca="1" si="14"/>
        <v>59.9</v>
      </c>
      <c r="AD32" s="646" t="str">
        <f t="shared" si="15"/>
        <v>3341-000-905R-WTA200</v>
      </c>
      <c r="AE32" s="648">
        <f t="shared" ca="1" si="16"/>
        <v>50.9</v>
      </c>
    </row>
    <row r="33" spans="1:31" s="7" customFormat="1" ht="12">
      <c r="A33" s="23">
        <v>32</v>
      </c>
      <c r="B33" s="23" t="str">
        <f>SUBSTITUTE('ZAMÓWIENIE | WYCENA'!C42,"_",'ZAMÓWIENIE | WYCENA'!$I$13,1)</f>
        <v>3341-220-905R-WTA200</v>
      </c>
      <c r="C33" s="15">
        <f>'ZAMÓWIENIE | WYCENA'!I42</f>
        <v>0</v>
      </c>
      <c r="D33" s="14">
        <v>1</v>
      </c>
      <c r="F33" s="16"/>
      <c r="G33" s="16"/>
      <c r="H33" s="24">
        <f>IFERROR(IF(COUNTIFS($H$1:H32,H32)&gt;=VLOOKUP(H32,$A$2:$D$309,4,0),IF(H32=MAX($A$2:$A$317),"",Lista!H32+1),H32),"")</f>
        <v>32</v>
      </c>
      <c r="I33" s="22" t="str">
        <f t="shared" si="0"/>
        <v>3341-220-905R-WTA200</v>
      </c>
      <c r="J33" s="24">
        <f t="shared" si="1"/>
        <v>0</v>
      </c>
      <c r="K33" s="25">
        <f t="shared" si="17"/>
        <v>0</v>
      </c>
      <c r="L33" s="26">
        <f t="shared" si="18"/>
        <v>0</v>
      </c>
      <c r="M33" s="26">
        <f t="shared" si="4"/>
        <v>0</v>
      </c>
      <c r="N33" s="26" t="str">
        <f t="shared" si="5"/>
        <v>SHO</v>
      </c>
      <c r="O33" s="26" t="str">
        <f t="shared" si="6"/>
        <v>IPT</v>
      </c>
      <c r="P33" s="25" t="str">
        <f t="shared" ca="1" si="7"/>
        <v>ND260415_0</v>
      </c>
      <c r="Q33" s="27" t="str">
        <f t="shared" ca="1" si="19"/>
        <v>2026-04-15</v>
      </c>
      <c r="R33" s="26" t="str">
        <f t="shared" si="20"/>
        <v>PLN</v>
      </c>
      <c r="S33" s="23" t="str">
        <f>IF(H33=1,VLOOKUP(COUNTIF($H$2:H33,H33),Specyfikacja!$A$5:$D$99,2,0),IF(H33=2,VLOOKUP(COUNTIF($H$2:H33,H33),Specyfikacja!$A$5:$K$99,9,0),""))</f>
        <v/>
      </c>
      <c r="T33" s="23" t="str">
        <f>IF(H33=1,VLOOKUP(COUNTIF($H$2:H33,H33),Specyfikacja!$A$5:$D$99,3,0),IF(H33=2,VLOOKUP(COUNTIF($H$2:H33,H33),Specyfikacja!$A$5:$K$99,10,0),""))</f>
        <v/>
      </c>
      <c r="U33" s="23" t="str">
        <f>SUBSTITUTE(SUBSTITUTE(IF(H33=1,VLOOKUP(COUNTIF($H$2:H33,H33),Specyfikacja!$A$5:$D$99,4,0),IF(H33=2,VLOOKUP(COUNTIF($H$2:H33,H33),Specyfikacja!$A$5:$K$99,11,0),"")),"Tak","YES"),"Nie","NO")</f>
        <v/>
      </c>
      <c r="W33" s="646" t="str">
        <f t="shared" ca="1" si="10"/>
        <v>=PODSTAW('ZAMÓWIENIE | WYCENA'!C42;"_";'ZAMÓWIENIE | WYCENA'!$I$13;1)</v>
      </c>
      <c r="X33" s="646">
        <f t="shared" ca="1" si="11"/>
        <v>10</v>
      </c>
      <c r="Y33" s="646">
        <f t="shared" ca="1" si="12"/>
        <v>35</v>
      </c>
      <c r="Z33" s="646" t="str">
        <f t="shared" ca="1" si="13"/>
        <v>'ZAMÓWIENIE | WYCENA'!C42</v>
      </c>
      <c r="AA33" s="647">
        <f t="shared" ca="1" si="14"/>
        <v>45.5</v>
      </c>
      <c r="AB33" s="647">
        <f t="shared" ca="1" si="14"/>
        <v>45.5</v>
      </c>
      <c r="AC33" s="647">
        <f t="shared" ca="1" si="14"/>
        <v>53.5</v>
      </c>
      <c r="AD33" s="646" t="str">
        <f t="shared" si="15"/>
        <v>3341-220-905R-WTA200</v>
      </c>
      <c r="AE33" s="648">
        <f t="shared" ca="1" si="16"/>
        <v>45.5</v>
      </c>
    </row>
    <row r="34" spans="1:31" s="7" customFormat="1" ht="12">
      <c r="A34" s="23">
        <v>33</v>
      </c>
      <c r="B34" s="23" t="str">
        <f>SUBSTITUTE('ZAMÓWIENIE | WYCENA'!C43,"_",'ZAMÓWIENIE | WYCENA'!$I$13,1)</f>
        <v>3331-000-905R-WTP200</v>
      </c>
      <c r="C34" s="15">
        <f>'ZAMÓWIENIE | WYCENA'!I43</f>
        <v>0</v>
      </c>
      <c r="D34" s="14">
        <v>1</v>
      </c>
      <c r="F34" s="16"/>
      <c r="G34" s="16"/>
      <c r="H34" s="24">
        <f>IFERROR(IF(COUNTIFS($H$1:H33,H33)&gt;=VLOOKUP(H33,$A$2:$D$309,4,0),IF(H33=MAX($A$2:$A$317),"",Lista!H33+1),H33),"")</f>
        <v>33</v>
      </c>
      <c r="I34" s="22" t="str">
        <f t="shared" ref="I34:I65" si="21">IFERROR(IF(H34=H33,"",VLOOKUP(H34,$A$2:$B$317,2,0)),"")</f>
        <v>3331-000-905R-WTP200</v>
      </c>
      <c r="J34" s="24">
        <f t="shared" ref="J34:J65" si="22">IFERROR(IF(H34=H33,"",VLOOKUP(H34,$A$2:$C$317,3,0)),"")</f>
        <v>0</v>
      </c>
      <c r="K34" s="25">
        <f t="shared" si="17"/>
        <v>0</v>
      </c>
      <c r="L34" s="26">
        <f t="shared" si="18"/>
        <v>0</v>
      </c>
      <c r="M34" s="26">
        <f t="shared" si="4"/>
        <v>0</v>
      </c>
      <c r="N34" s="26" t="str">
        <f t="shared" si="5"/>
        <v>SHO</v>
      </c>
      <c r="O34" s="26" t="str">
        <f t="shared" si="6"/>
        <v>IPT</v>
      </c>
      <c r="P34" s="25" t="str">
        <f t="shared" ca="1" si="7"/>
        <v>ND260415_0</v>
      </c>
      <c r="Q34" s="27" t="str">
        <f t="shared" ca="1" si="19"/>
        <v>2026-04-15</v>
      </c>
      <c r="R34" s="26" t="str">
        <f t="shared" si="20"/>
        <v>PLN</v>
      </c>
      <c r="S34" s="23" t="str">
        <f>IF(H34=1,VLOOKUP(COUNTIF($H$2:H34,H34),Specyfikacja!$A$5:$D$99,2,0),IF(H34=2,VLOOKUP(COUNTIF($H$2:H34,H34),Specyfikacja!$A$5:$K$99,9,0),""))</f>
        <v/>
      </c>
      <c r="T34" s="23" t="str">
        <f>IF(H34=1,VLOOKUP(COUNTIF($H$2:H34,H34),Specyfikacja!$A$5:$D$99,3,0),IF(H34=2,VLOOKUP(COUNTIF($H$2:H34,H34),Specyfikacja!$A$5:$K$99,10,0),""))</f>
        <v/>
      </c>
      <c r="U34" s="23" t="str">
        <f>SUBSTITUTE(SUBSTITUTE(IF(H34=1,VLOOKUP(COUNTIF($H$2:H34,H34),Specyfikacja!$A$5:$D$99,4,0),IF(H34=2,VLOOKUP(COUNTIF($H$2:H34,H34),Specyfikacja!$A$5:$K$99,11,0),"")),"Tak","YES"),"Nie","NO")</f>
        <v/>
      </c>
      <c r="W34" s="646" t="str">
        <f t="shared" ca="1" si="10"/>
        <v>=PODSTAW('ZAMÓWIENIE | WYCENA'!C43;"_";'ZAMÓWIENIE | WYCENA'!$I$13;1)</v>
      </c>
      <c r="X34" s="646">
        <f t="shared" ca="1" si="11"/>
        <v>10</v>
      </c>
      <c r="Y34" s="646">
        <f t="shared" ca="1" si="12"/>
        <v>35</v>
      </c>
      <c r="Z34" s="646" t="str">
        <f t="shared" ca="1" si="13"/>
        <v>'ZAMÓWIENIE | WYCENA'!C43</v>
      </c>
      <c r="AA34" s="647">
        <f t="shared" ca="1" si="14"/>
        <v>37.299999999999997</v>
      </c>
      <c r="AB34" s="647">
        <f t="shared" ca="1" si="14"/>
        <v>37.299999999999997</v>
      </c>
      <c r="AC34" s="647">
        <f t="shared" ca="1" si="14"/>
        <v>43.9</v>
      </c>
      <c r="AD34" s="646" t="str">
        <f t="shared" si="15"/>
        <v>3331-000-905R-WTP200</v>
      </c>
      <c r="AE34" s="648">
        <f t="shared" ca="1" si="16"/>
        <v>37.299999999999997</v>
      </c>
    </row>
    <row r="35" spans="1:31" s="7" customFormat="1" ht="12">
      <c r="A35" s="23">
        <v>34</v>
      </c>
      <c r="B35" s="23" t="str">
        <f>SUBSTITUTE('ZAMÓWIENIE | WYCENA'!C44,"_",'ZAMÓWIENIE | WYCENA'!$I$13,1)</f>
        <v>3340-000-905R-LSP027</v>
      </c>
      <c r="C35" s="15">
        <f>'ZAMÓWIENIE | WYCENA'!I44</f>
        <v>0</v>
      </c>
      <c r="D35" s="14">
        <v>1</v>
      </c>
      <c r="F35" s="16"/>
      <c r="G35" s="16"/>
      <c r="H35" s="24">
        <f>IFERROR(IF(COUNTIFS($H$1:H34,H34)&gt;=VLOOKUP(H34,$A$2:$D$309,4,0),IF(H34=MAX($A$2:$A$317),"",Lista!H34+1),H34),"")</f>
        <v>34</v>
      </c>
      <c r="I35" s="22" t="str">
        <f t="shared" si="21"/>
        <v>3340-000-905R-LSP027</v>
      </c>
      <c r="J35" s="24">
        <f t="shared" si="22"/>
        <v>0</v>
      </c>
      <c r="K35" s="25">
        <f t="shared" si="17"/>
        <v>0</v>
      </c>
      <c r="L35" s="26">
        <f t="shared" si="18"/>
        <v>0</v>
      </c>
      <c r="M35" s="26">
        <f t="shared" si="4"/>
        <v>0</v>
      </c>
      <c r="N35" s="26" t="str">
        <f t="shared" si="5"/>
        <v>SHO</v>
      </c>
      <c r="O35" s="26" t="str">
        <f t="shared" si="6"/>
        <v>IPT</v>
      </c>
      <c r="P35" s="25" t="str">
        <f t="shared" ca="1" si="7"/>
        <v>ND260415_0</v>
      </c>
      <c r="Q35" s="27" t="str">
        <f t="shared" ca="1" si="19"/>
        <v>2026-04-15</v>
      </c>
      <c r="R35" s="26" t="str">
        <f t="shared" si="20"/>
        <v>PLN</v>
      </c>
      <c r="S35" s="23" t="str">
        <f>IF(H35=1,VLOOKUP(COUNTIF($H$2:H35,H35),Specyfikacja!$A$5:$D$99,2,0),IF(H35=2,VLOOKUP(COUNTIF($H$2:H35,H35),Specyfikacja!$A$5:$K$99,9,0),""))</f>
        <v/>
      </c>
      <c r="T35" s="23" t="str">
        <f>IF(H35=1,VLOOKUP(COUNTIF($H$2:H35,H35),Specyfikacja!$A$5:$D$99,3,0),IF(H35=2,VLOOKUP(COUNTIF($H$2:H35,H35),Specyfikacja!$A$5:$K$99,10,0),""))</f>
        <v/>
      </c>
      <c r="U35" s="23" t="str">
        <f>SUBSTITUTE(SUBSTITUTE(IF(H35=1,VLOOKUP(COUNTIF($H$2:H35,H35),Specyfikacja!$A$5:$D$99,4,0),IF(H35=2,VLOOKUP(COUNTIF($H$2:H35,H35),Specyfikacja!$A$5:$K$99,11,0),"")),"Tak","YES"),"Nie","NO")</f>
        <v/>
      </c>
      <c r="W35" s="646" t="str">
        <f t="shared" ca="1" si="10"/>
        <v>=PODSTAW('ZAMÓWIENIE | WYCENA'!C44;"_";'ZAMÓWIENIE | WYCENA'!$I$13;1)</v>
      </c>
      <c r="X35" s="646">
        <f t="shared" ca="1" si="11"/>
        <v>10</v>
      </c>
      <c r="Y35" s="646">
        <f t="shared" ca="1" si="12"/>
        <v>35</v>
      </c>
      <c r="Z35" s="646" t="str">
        <f t="shared" ca="1" si="13"/>
        <v>'ZAMÓWIENIE | WYCENA'!C44</v>
      </c>
      <c r="AA35" s="647">
        <f t="shared" ca="1" si="14"/>
        <v>12.7</v>
      </c>
      <c r="AB35" s="647">
        <f t="shared" ca="1" si="14"/>
        <v>12.7</v>
      </c>
      <c r="AC35" s="647">
        <f t="shared" ca="1" si="14"/>
        <v>14.9</v>
      </c>
      <c r="AD35" s="646" t="str">
        <f t="shared" si="15"/>
        <v>3340-000-905R-LSP027</v>
      </c>
      <c r="AE35" s="648">
        <f t="shared" ca="1" si="16"/>
        <v>12.7</v>
      </c>
    </row>
    <row r="36" spans="1:31" s="7" customFormat="1" ht="12">
      <c r="A36" s="23">
        <v>35</v>
      </c>
      <c r="B36" s="23" t="str">
        <f>SUBSTITUTE('ZAMÓWIENIE | WYCENA'!C45,"_",'ZAMÓWIENIE | WYCENA'!$I$13,1)</f>
        <v>3340-000-905R-LSP048</v>
      </c>
      <c r="C36" s="15">
        <f>'ZAMÓWIENIE | WYCENA'!I45</f>
        <v>0</v>
      </c>
      <c r="D36" s="14">
        <v>1</v>
      </c>
      <c r="F36" s="16"/>
      <c r="G36" s="16"/>
      <c r="H36" s="24">
        <f>IFERROR(IF(COUNTIFS($H$1:H35,H35)&gt;=VLOOKUP(H35,$A$2:$D$309,4,0),IF(H35=MAX($A$2:$A$317),"",Lista!H35+1),H35),"")</f>
        <v>35</v>
      </c>
      <c r="I36" s="22" t="str">
        <f t="shared" si="21"/>
        <v>3340-000-905R-LSP048</v>
      </c>
      <c r="J36" s="24">
        <f t="shared" si="22"/>
        <v>0</v>
      </c>
      <c r="K36" s="25">
        <f t="shared" si="17"/>
        <v>0</v>
      </c>
      <c r="L36" s="26">
        <f t="shared" si="18"/>
        <v>0</v>
      </c>
      <c r="M36" s="26">
        <f t="shared" si="4"/>
        <v>0</v>
      </c>
      <c r="N36" s="26" t="str">
        <f t="shared" si="5"/>
        <v>SHO</v>
      </c>
      <c r="O36" s="26" t="str">
        <f t="shared" si="6"/>
        <v>IPT</v>
      </c>
      <c r="P36" s="25" t="str">
        <f t="shared" ca="1" si="7"/>
        <v>ND260415_0</v>
      </c>
      <c r="Q36" s="27" t="str">
        <f t="shared" ca="1" si="19"/>
        <v>2026-04-15</v>
      </c>
      <c r="R36" s="26" t="str">
        <f t="shared" si="20"/>
        <v>PLN</v>
      </c>
      <c r="S36" s="23" t="str">
        <f>IF(H36=1,VLOOKUP(COUNTIF($H$2:H36,H36),Specyfikacja!$A$5:$D$99,2,0),IF(H36=2,VLOOKUP(COUNTIF($H$2:H36,H36),Specyfikacja!$A$5:$K$99,9,0),""))</f>
        <v/>
      </c>
      <c r="T36" s="23" t="str">
        <f>IF(H36=1,VLOOKUP(COUNTIF($H$2:H36,H36),Specyfikacja!$A$5:$D$99,3,0),IF(H36=2,VLOOKUP(COUNTIF($H$2:H36,H36),Specyfikacja!$A$5:$K$99,10,0),""))</f>
        <v/>
      </c>
      <c r="U36" s="23" t="str">
        <f>SUBSTITUTE(SUBSTITUTE(IF(H36=1,VLOOKUP(COUNTIF($H$2:H36,H36),Specyfikacja!$A$5:$D$99,4,0),IF(H36=2,VLOOKUP(COUNTIF($H$2:H36,H36),Specyfikacja!$A$5:$K$99,11,0),"")),"Tak","YES"),"Nie","NO")</f>
        <v/>
      </c>
      <c r="W36" s="646" t="str">
        <f t="shared" ca="1" si="10"/>
        <v>=PODSTAW('ZAMÓWIENIE | WYCENA'!C45;"_";'ZAMÓWIENIE | WYCENA'!$I$13;1)</v>
      </c>
      <c r="X36" s="646">
        <f t="shared" ca="1" si="11"/>
        <v>10</v>
      </c>
      <c r="Y36" s="646">
        <f t="shared" ca="1" si="12"/>
        <v>35</v>
      </c>
      <c r="Z36" s="646" t="str">
        <f t="shared" ca="1" si="13"/>
        <v>'ZAMÓWIENIE | WYCENA'!C45</v>
      </c>
      <c r="AA36" s="647">
        <f t="shared" ca="1" si="14"/>
        <v>16.899999999999999</v>
      </c>
      <c r="AB36" s="647">
        <f t="shared" ca="1" si="14"/>
        <v>16.899999999999999</v>
      </c>
      <c r="AC36" s="647">
        <f t="shared" ca="1" si="14"/>
        <v>19.899999999999999</v>
      </c>
      <c r="AD36" s="646" t="str">
        <f t="shared" si="15"/>
        <v>3340-000-905R-LSP048</v>
      </c>
      <c r="AE36" s="648">
        <f t="shared" ca="1" si="16"/>
        <v>16.899999999999999</v>
      </c>
    </row>
    <row r="37" spans="1:31" s="7" customFormat="1" ht="12">
      <c r="A37" s="23">
        <v>36</v>
      </c>
      <c r="B37" s="23" t="str">
        <f>SUBSTITUTE('ZAMÓWIENIE | WYCENA'!C46,"_",'ZAMÓWIENIE | WYCENA'!$I$13,1)</f>
        <v>3340-000-905R-LSP200</v>
      </c>
      <c r="C37" s="15">
        <f>'ZAMÓWIENIE | WYCENA'!I46</f>
        <v>0</v>
      </c>
      <c r="D37" s="14">
        <v>1</v>
      </c>
      <c r="F37" s="16"/>
      <c r="G37" s="16"/>
      <c r="H37" s="24">
        <f>IFERROR(IF(COUNTIFS($H$1:H36,H36)&gt;=VLOOKUP(H36,$A$2:$D$309,4,0),IF(H36=MAX($A$2:$A$317),"",Lista!H36+1),H36),"")</f>
        <v>36</v>
      </c>
      <c r="I37" s="22" t="str">
        <f t="shared" si="21"/>
        <v>3340-000-905R-LSP200</v>
      </c>
      <c r="J37" s="24">
        <f t="shared" si="22"/>
        <v>0</v>
      </c>
      <c r="K37" s="25">
        <f t="shared" si="17"/>
        <v>0</v>
      </c>
      <c r="L37" s="26">
        <f t="shared" si="18"/>
        <v>0</v>
      </c>
      <c r="M37" s="26">
        <f t="shared" si="4"/>
        <v>0</v>
      </c>
      <c r="N37" s="26" t="str">
        <f t="shared" si="5"/>
        <v>SHO</v>
      </c>
      <c r="O37" s="26" t="str">
        <f t="shared" si="6"/>
        <v>IPT</v>
      </c>
      <c r="P37" s="25" t="str">
        <f t="shared" ca="1" si="7"/>
        <v>ND260415_0</v>
      </c>
      <c r="Q37" s="27" t="str">
        <f t="shared" ca="1" si="19"/>
        <v>2026-04-15</v>
      </c>
      <c r="R37" s="26" t="str">
        <f t="shared" si="20"/>
        <v>PLN</v>
      </c>
      <c r="S37" s="23" t="str">
        <f>IF(H37=1,VLOOKUP(COUNTIF($H$2:H37,H37),Specyfikacja!$A$5:$D$99,2,0),IF(H37=2,VLOOKUP(COUNTIF($H$2:H37,H37),Specyfikacja!$A$5:$K$99,9,0),""))</f>
        <v/>
      </c>
      <c r="T37" s="23" t="str">
        <f>IF(H37=1,VLOOKUP(COUNTIF($H$2:H37,H37),Specyfikacja!$A$5:$D$99,3,0),IF(H37=2,VLOOKUP(COUNTIF($H$2:H37,H37),Specyfikacja!$A$5:$K$99,10,0),""))</f>
        <v/>
      </c>
      <c r="U37" s="23" t="str">
        <f>SUBSTITUTE(SUBSTITUTE(IF(H37=1,VLOOKUP(COUNTIF($H$2:H37,H37),Specyfikacja!$A$5:$D$99,4,0),IF(H37=2,VLOOKUP(COUNTIF($H$2:H37,H37),Specyfikacja!$A$5:$K$99,11,0),"")),"Tak","YES"),"Nie","NO")</f>
        <v/>
      </c>
      <c r="W37" s="646" t="str">
        <f t="shared" ca="1" si="10"/>
        <v>=PODSTAW('ZAMÓWIENIE | WYCENA'!C46;"_";'ZAMÓWIENIE | WYCENA'!$I$13;1)</v>
      </c>
      <c r="X37" s="646">
        <f t="shared" ca="1" si="11"/>
        <v>10</v>
      </c>
      <c r="Y37" s="646">
        <f t="shared" ca="1" si="12"/>
        <v>35</v>
      </c>
      <c r="Z37" s="646" t="str">
        <f t="shared" ca="1" si="13"/>
        <v>'ZAMÓWIENIE | WYCENA'!C46</v>
      </c>
      <c r="AA37" s="647">
        <f t="shared" ca="1" si="14"/>
        <v>62.8</v>
      </c>
      <c r="AB37" s="647">
        <f t="shared" ca="1" si="14"/>
        <v>62.8</v>
      </c>
      <c r="AC37" s="647">
        <f t="shared" ca="1" si="14"/>
        <v>73.900000000000006</v>
      </c>
      <c r="AD37" s="646" t="str">
        <f t="shared" si="15"/>
        <v>3340-000-905R-LSP200</v>
      </c>
      <c r="AE37" s="648">
        <f t="shared" ca="1" si="16"/>
        <v>62.8</v>
      </c>
    </row>
    <row r="38" spans="1:31" s="7" customFormat="1" ht="12">
      <c r="A38" s="23">
        <v>37</v>
      </c>
      <c r="B38" s="23" t="s">
        <v>323</v>
      </c>
      <c r="C38" s="15">
        <f>'ZAMÓWIENIE | WYCENA'!J32</f>
        <v>0</v>
      </c>
      <c r="D38" s="14">
        <v>1</v>
      </c>
      <c r="F38" s="16"/>
      <c r="G38" s="16"/>
      <c r="H38" s="24">
        <f>IFERROR(IF(COUNTIFS($H$1:H37,H37)&gt;=VLOOKUP(H37,$A$2:$D$309,4,0),IF(H37=MAX($A$2:$A$317),"",Lista!H37+1),H37),"")</f>
        <v>37</v>
      </c>
      <c r="I38" s="22" t="str">
        <f t="shared" si="21"/>
        <v>3330-125-817R-BPF000</v>
      </c>
      <c r="J38" s="24">
        <f t="shared" si="22"/>
        <v>0</v>
      </c>
      <c r="K38" s="25">
        <f t="shared" si="17"/>
        <v>0</v>
      </c>
      <c r="L38" s="26">
        <f t="shared" si="18"/>
        <v>0</v>
      </c>
      <c r="M38" s="26">
        <f t="shared" si="4"/>
        <v>0</v>
      </c>
      <c r="N38" s="26" t="str">
        <f t="shared" si="5"/>
        <v>SHO</v>
      </c>
      <c r="O38" s="26" t="str">
        <f t="shared" si="6"/>
        <v>IPT</v>
      </c>
      <c r="P38" s="25" t="str">
        <f t="shared" ca="1" si="7"/>
        <v>ND260415_0</v>
      </c>
      <c r="Q38" s="27" t="str">
        <f t="shared" ca="1" si="19"/>
        <v>2026-04-15</v>
      </c>
      <c r="R38" s="26" t="str">
        <f t="shared" si="20"/>
        <v>PLN</v>
      </c>
      <c r="S38" s="23" t="str">
        <f>IF(H38=1,VLOOKUP(COUNTIF($H$2:H38,H38),Specyfikacja!$A$5:$D$99,2,0),IF(H38=2,VLOOKUP(COUNTIF($H$2:H38,H38),Specyfikacja!$A$5:$K$99,9,0),""))</f>
        <v/>
      </c>
      <c r="T38" s="23" t="str">
        <f>IF(H38=1,VLOOKUP(COUNTIF($H$2:H38,H38),Specyfikacja!$A$5:$D$99,3,0),IF(H38=2,VLOOKUP(COUNTIF($H$2:H38,H38),Specyfikacja!$A$5:$K$99,10,0),""))</f>
        <v/>
      </c>
      <c r="U38" s="23" t="str">
        <f>SUBSTITUTE(SUBSTITUTE(IF(H38=1,VLOOKUP(COUNTIF($H$2:H38,H38),Specyfikacja!$A$5:$D$99,4,0),IF(H38=2,VLOOKUP(COUNTIF($H$2:H38,H38),Specyfikacja!$A$5:$K$99,11,0),"")),"Tak","YES"),"Nie","NO")</f>
        <v/>
      </c>
      <c r="W38" s="646"/>
      <c r="X38" s="646"/>
      <c r="Y38" s="646"/>
      <c r="Z38" s="646"/>
      <c r="AA38" s="647"/>
      <c r="AB38" s="647"/>
      <c r="AC38" s="647"/>
      <c r="AD38" s="646"/>
      <c r="AE38" s="648"/>
    </row>
    <row r="39" spans="1:31" s="7" customFormat="1" ht="12">
      <c r="A39" s="23">
        <v>38</v>
      </c>
      <c r="B39" s="23" t="str">
        <f>SUBSTITUTE('ZAMÓWIENIE | WYCENA'!C37,"_",'ZAMÓWIENIE | WYCENA'!$J$13,1)</f>
        <v>3341-220-817R-GSR200</v>
      </c>
      <c r="C39" s="15">
        <f>'ZAMÓWIENIE | WYCENA'!J37</f>
        <v>0</v>
      </c>
      <c r="D39" s="14">
        <v>1</v>
      </c>
      <c r="F39" s="16"/>
      <c r="G39" s="16"/>
      <c r="H39" s="24">
        <f>IFERROR(IF(COUNTIFS($H$1:H38,H38)&gt;=VLOOKUP(H38,$A$2:$D$309,4,0),IF(H38=MAX($A$2:$A$317),"",Lista!H38+1),H38),"")</f>
        <v>38</v>
      </c>
      <c r="I39" s="22" t="str">
        <f t="shared" si="21"/>
        <v>3341-220-817R-GSR200</v>
      </c>
      <c r="J39" s="24">
        <f t="shared" si="22"/>
        <v>0</v>
      </c>
      <c r="K39" s="25">
        <f t="shared" si="17"/>
        <v>0</v>
      </c>
      <c r="L39" s="26">
        <f t="shared" si="18"/>
        <v>0</v>
      </c>
      <c r="M39" s="26">
        <f t="shared" si="4"/>
        <v>0</v>
      </c>
      <c r="N39" s="26" t="str">
        <f t="shared" si="5"/>
        <v>SHO</v>
      </c>
      <c r="O39" s="26" t="str">
        <f t="shared" si="6"/>
        <v>IPT</v>
      </c>
      <c r="P39" s="25" t="str">
        <f t="shared" ca="1" si="7"/>
        <v>ND260415_0</v>
      </c>
      <c r="Q39" s="27" t="str">
        <f t="shared" ca="1" si="19"/>
        <v>2026-04-15</v>
      </c>
      <c r="R39" s="26" t="str">
        <f t="shared" si="20"/>
        <v>PLN</v>
      </c>
      <c r="S39" s="23" t="str">
        <f>IF(H39=1,VLOOKUP(COUNTIF($H$2:H39,H39),Specyfikacja!$A$5:$D$99,2,0),IF(H39=2,VLOOKUP(COUNTIF($H$2:H39,H39),Specyfikacja!$A$5:$K$99,9,0),""))</f>
        <v/>
      </c>
      <c r="T39" s="23" t="str">
        <f>IF(H39=1,VLOOKUP(COUNTIF($H$2:H39,H39),Specyfikacja!$A$5:$D$99,3,0),IF(H39=2,VLOOKUP(COUNTIF($H$2:H39,H39),Specyfikacja!$A$5:$K$99,10,0),""))</f>
        <v/>
      </c>
      <c r="U39" s="23" t="str">
        <f>SUBSTITUTE(SUBSTITUTE(IF(H39=1,VLOOKUP(COUNTIF($H$2:H39,H39),Specyfikacja!$A$5:$D$99,4,0),IF(H39=2,VLOOKUP(COUNTIF($H$2:H39,H39),Specyfikacja!$A$5:$K$99,11,0),"")),"Tak","YES"),"Nie","NO")</f>
        <v/>
      </c>
      <c r="W39" s="646" t="str">
        <f ca="1">_xlfn.FORMULATEXT(B39)</f>
        <v>=PODSTAW('ZAMÓWIENIE | WYCENA'!C37;"_";'ZAMÓWIENIE | WYCENA'!$J$13;1)</v>
      </c>
      <c r="X39" s="646">
        <f ca="1">FIND("'",W39)</f>
        <v>10</v>
      </c>
      <c r="Y39" s="646">
        <f ca="1">FIND(";",W39)</f>
        <v>35</v>
      </c>
      <c r="Z39" s="646" t="str">
        <f ca="1">MID(W39,X39,Y39-X39)</f>
        <v>'ZAMÓWIENIE | WYCENA'!C37</v>
      </c>
      <c r="AA39" s="647">
        <f ca="1">INDIRECT(SUBSTITUTE($Z39,"'!C","'!"&amp;AA$3))</f>
        <v>59</v>
      </c>
      <c r="AB39" s="647">
        <f ca="1">INDIRECT(SUBSTITUTE($Z39,"'!C","'!"&amp;AB$3))</f>
        <v>59</v>
      </c>
      <c r="AC39" s="647">
        <f ca="1">INDIRECT(SUBSTITUTE($Z39,"'!C","'!"&amp;AC$3))</f>
        <v>69.400000000000006</v>
      </c>
      <c r="AD39" s="646" t="str">
        <f>B39</f>
        <v>3341-220-817R-GSR200</v>
      </c>
      <c r="AE39" s="648">
        <f t="shared" ca="1" si="16"/>
        <v>59</v>
      </c>
    </row>
    <row r="40" spans="1:31" s="7" customFormat="1" ht="12">
      <c r="A40" s="23">
        <v>39</v>
      </c>
      <c r="B40" s="23" t="str">
        <f>SUBSTITUTE('ZAMÓWIENIE | WYCENA'!C38,"_",'ZAMÓWIENIE | WYCENA'!$J$13,1)</f>
        <v>3341-293-817R-GSR200</v>
      </c>
      <c r="C40" s="15">
        <f>'ZAMÓWIENIE | WYCENA'!J38</f>
        <v>0</v>
      </c>
      <c r="D40" s="14">
        <v>1</v>
      </c>
      <c r="F40" s="16"/>
      <c r="G40" s="16"/>
      <c r="H40" s="24">
        <f>IFERROR(IF(COUNTIFS($H$1:H39,H39)&gt;=VLOOKUP(H39,$A$2:$D$309,4,0),IF(H39=MAX($A$2:$A$317),"",Lista!H39+1),H39),"")</f>
        <v>39</v>
      </c>
      <c r="I40" s="22" t="str">
        <f t="shared" si="21"/>
        <v>3341-293-817R-GSR200</v>
      </c>
      <c r="J40" s="24">
        <f t="shared" si="22"/>
        <v>0</v>
      </c>
      <c r="K40" s="25">
        <f t="shared" si="17"/>
        <v>0</v>
      </c>
      <c r="L40" s="26">
        <f t="shared" si="18"/>
        <v>0</v>
      </c>
      <c r="M40" s="26">
        <f t="shared" si="4"/>
        <v>0</v>
      </c>
      <c r="N40" s="26" t="str">
        <f t="shared" si="5"/>
        <v>SHO</v>
      </c>
      <c r="O40" s="26" t="str">
        <f t="shared" si="6"/>
        <v>IPT</v>
      </c>
      <c r="P40" s="25" t="str">
        <f t="shared" ca="1" si="7"/>
        <v>ND260415_0</v>
      </c>
      <c r="Q40" s="27" t="str">
        <f t="shared" ca="1" si="19"/>
        <v>2026-04-15</v>
      </c>
      <c r="R40" s="26" t="str">
        <f t="shared" si="20"/>
        <v>PLN</v>
      </c>
      <c r="S40" s="23" t="str">
        <f>IF(H40=1,VLOOKUP(COUNTIF($H$2:H40,H40),Specyfikacja!$A$5:$D$99,2,0),IF(H40=2,VLOOKUP(COUNTIF($H$2:H40,H40),Specyfikacja!$A$5:$K$99,9,0),""))</f>
        <v/>
      </c>
      <c r="T40" s="23" t="str">
        <f>IF(H40=1,VLOOKUP(COUNTIF($H$2:H40,H40),Specyfikacja!$A$5:$D$99,3,0),IF(H40=2,VLOOKUP(COUNTIF($H$2:H40,H40),Specyfikacja!$A$5:$K$99,10,0),""))</f>
        <v/>
      </c>
      <c r="U40" s="23" t="str">
        <f>SUBSTITUTE(SUBSTITUTE(IF(H40=1,VLOOKUP(COUNTIF($H$2:H40,H40),Specyfikacja!$A$5:$D$99,4,0),IF(H40=2,VLOOKUP(COUNTIF($H$2:H40,H40),Specyfikacja!$A$5:$K$99,11,0),"")),"Tak","YES"),"Nie","NO")</f>
        <v/>
      </c>
      <c r="W40" s="646" t="str">
        <f t="shared" ref="W40:W50" ca="1" si="23">_xlfn.FORMULATEXT(B40)</f>
        <v>=PODSTAW('ZAMÓWIENIE | WYCENA'!C38;"_";'ZAMÓWIENIE | WYCENA'!$J$13;1)</v>
      </c>
      <c r="X40" s="646">
        <f t="shared" ca="1" si="11"/>
        <v>10</v>
      </c>
      <c r="Y40" s="646">
        <f t="shared" ref="Y40:Y50" ca="1" si="24">FIND(";",W40)</f>
        <v>35</v>
      </c>
      <c r="Z40" s="646" t="str">
        <f t="shared" ref="Z40:Z50" ca="1" si="25">MID(W40,X40,Y40-X40)</f>
        <v>'ZAMÓWIENIE | WYCENA'!C38</v>
      </c>
      <c r="AA40" s="647">
        <f t="shared" ca="1" si="14"/>
        <v>62.2</v>
      </c>
      <c r="AB40" s="647">
        <f t="shared" ca="1" si="14"/>
        <v>62.2</v>
      </c>
      <c r="AC40" s="647">
        <f t="shared" ca="1" si="14"/>
        <v>73.2</v>
      </c>
      <c r="AD40" s="646" t="str">
        <f t="shared" ref="AD40:AD50" si="26">B40</f>
        <v>3341-293-817R-GSR200</v>
      </c>
      <c r="AE40" s="648">
        <f t="shared" ca="1" si="16"/>
        <v>62.2</v>
      </c>
    </row>
    <row r="41" spans="1:31" s="7" customFormat="1" ht="12">
      <c r="A41" s="23">
        <v>40</v>
      </c>
      <c r="B41" s="23" t="str">
        <f>SUBSTITUTE('ZAMÓWIENIE | WYCENA'!C39,"_",'ZAMÓWIENIE | WYCENA'!$J$13,1)</f>
        <v>3341-000-817R-PSN200</v>
      </c>
      <c r="C41" s="15">
        <f>'ZAMÓWIENIE | WYCENA'!J39</f>
        <v>0</v>
      </c>
      <c r="D41" s="14">
        <v>1</v>
      </c>
      <c r="F41" s="16"/>
      <c r="G41" s="16"/>
      <c r="H41" s="24">
        <f>IFERROR(IF(COUNTIFS($H$1:H40,H40)&gt;=VLOOKUP(H40,$A$2:$D$309,4,0),IF(H40=MAX($A$2:$A$317),"",Lista!H40+1),H40),"")</f>
        <v>40</v>
      </c>
      <c r="I41" s="22" t="str">
        <f t="shared" si="21"/>
        <v>3341-000-817R-PSN200</v>
      </c>
      <c r="J41" s="24">
        <f t="shared" si="22"/>
        <v>0</v>
      </c>
      <c r="K41" s="25">
        <f t="shared" si="17"/>
        <v>0</v>
      </c>
      <c r="L41" s="26">
        <f t="shared" si="18"/>
        <v>0</v>
      </c>
      <c r="M41" s="26">
        <f t="shared" si="4"/>
        <v>0</v>
      </c>
      <c r="N41" s="26" t="str">
        <f t="shared" si="5"/>
        <v>SHO</v>
      </c>
      <c r="O41" s="26" t="str">
        <f t="shared" si="6"/>
        <v>IPT</v>
      </c>
      <c r="P41" s="25" t="str">
        <f t="shared" ca="1" si="7"/>
        <v>ND260415_0</v>
      </c>
      <c r="Q41" s="27" t="str">
        <f t="shared" ca="1" si="19"/>
        <v>2026-04-15</v>
      </c>
      <c r="R41" s="26" t="str">
        <f t="shared" si="20"/>
        <v>PLN</v>
      </c>
      <c r="S41" s="23" t="str">
        <f>IF(H41=1,VLOOKUP(COUNTIF($H$2:H41,H41),Specyfikacja!$A$5:$D$99,2,0),IF(H41=2,VLOOKUP(COUNTIF($H$2:H41,H41),Specyfikacja!$A$5:$K$99,9,0),""))</f>
        <v/>
      </c>
      <c r="T41" s="23" t="str">
        <f>IF(H41=1,VLOOKUP(COUNTIF($H$2:H41,H41),Specyfikacja!$A$5:$D$99,3,0),IF(H41=2,VLOOKUP(COUNTIF($H$2:H41,H41),Specyfikacja!$A$5:$K$99,10,0),""))</f>
        <v/>
      </c>
      <c r="U41" s="23" t="str">
        <f>SUBSTITUTE(SUBSTITUTE(IF(H41=1,VLOOKUP(COUNTIF($H$2:H41,H41),Specyfikacja!$A$5:$D$99,4,0),IF(H41=2,VLOOKUP(COUNTIF($H$2:H41,H41),Specyfikacja!$A$5:$K$99,11,0),"")),"Tak","YES"),"Nie","NO")</f>
        <v/>
      </c>
      <c r="W41" s="646" t="str">
        <f t="shared" ca="1" si="23"/>
        <v>=PODSTAW('ZAMÓWIENIE | WYCENA'!C39;"_";'ZAMÓWIENIE | WYCENA'!$J$13;1)</v>
      </c>
      <c r="X41" s="646">
        <f t="shared" ca="1" si="11"/>
        <v>10</v>
      </c>
      <c r="Y41" s="646">
        <f t="shared" ca="1" si="24"/>
        <v>35</v>
      </c>
      <c r="Z41" s="646" t="str">
        <f t="shared" ca="1" si="25"/>
        <v>'ZAMÓWIENIE | WYCENA'!C39</v>
      </c>
      <c r="AA41" s="647">
        <f t="shared" ref="AA41:AC56" ca="1" si="27">INDIRECT(SUBSTITUTE($Z41,"'!C","'!"&amp;AA$3))</f>
        <v>54.3</v>
      </c>
      <c r="AB41" s="647">
        <f t="shared" ca="1" si="27"/>
        <v>54.3</v>
      </c>
      <c r="AC41" s="647">
        <f t="shared" ca="1" si="27"/>
        <v>63.9</v>
      </c>
      <c r="AD41" s="646" t="str">
        <f t="shared" si="26"/>
        <v>3341-000-817R-PSN200</v>
      </c>
      <c r="AE41" s="648">
        <f t="shared" ca="1" si="16"/>
        <v>54.3</v>
      </c>
    </row>
    <row r="42" spans="1:31" s="7" customFormat="1" ht="12">
      <c r="A42" s="23">
        <v>41</v>
      </c>
      <c r="B42" s="23" t="str">
        <f>SUBSTITUTE('ZAMÓWIENIE | WYCENA'!C40,"_",'ZAMÓWIENIE | WYCENA'!$J$13,1)</f>
        <v>3341-000-817R-PSW200</v>
      </c>
      <c r="C42" s="15">
        <f>'ZAMÓWIENIE | WYCENA'!J40</f>
        <v>0</v>
      </c>
      <c r="D42" s="14">
        <v>1</v>
      </c>
      <c r="F42" s="16"/>
      <c r="G42" s="16"/>
      <c r="H42" s="24">
        <f>IFERROR(IF(COUNTIFS($H$1:H41,H41)&gt;=VLOOKUP(H41,$A$2:$D$309,4,0),IF(H41=MAX($A$2:$A$317),"",Lista!H41+1),H41),"")</f>
        <v>41</v>
      </c>
      <c r="I42" s="22" t="str">
        <f t="shared" si="21"/>
        <v>3341-000-817R-PSW200</v>
      </c>
      <c r="J42" s="24">
        <f t="shared" si="22"/>
        <v>0</v>
      </c>
      <c r="K42" s="25">
        <f t="shared" si="17"/>
        <v>0</v>
      </c>
      <c r="L42" s="26">
        <f t="shared" si="18"/>
        <v>0</v>
      </c>
      <c r="M42" s="26">
        <f t="shared" si="4"/>
        <v>0</v>
      </c>
      <c r="N42" s="26" t="str">
        <f t="shared" si="5"/>
        <v>SHO</v>
      </c>
      <c r="O42" s="26" t="str">
        <f t="shared" si="6"/>
        <v>IPT</v>
      </c>
      <c r="P42" s="25" t="str">
        <f t="shared" ca="1" si="7"/>
        <v>ND260415_0</v>
      </c>
      <c r="Q42" s="27" t="str">
        <f t="shared" ca="1" si="19"/>
        <v>2026-04-15</v>
      </c>
      <c r="R42" s="26" t="str">
        <f t="shared" si="20"/>
        <v>PLN</v>
      </c>
      <c r="S42" s="23" t="str">
        <f>IF(H42=1,VLOOKUP(COUNTIF($H$2:H42,H42),Specyfikacja!$A$5:$D$99,2,0),IF(H42=2,VLOOKUP(COUNTIF($H$2:H42,H42),Specyfikacja!$A$5:$K$99,9,0),""))</f>
        <v/>
      </c>
      <c r="T42" s="23" t="str">
        <f>IF(H42=1,VLOOKUP(COUNTIF($H$2:H42,H42),Specyfikacja!$A$5:$D$99,3,0),IF(H42=2,VLOOKUP(COUNTIF($H$2:H42,H42),Specyfikacja!$A$5:$K$99,10,0),""))</f>
        <v/>
      </c>
      <c r="U42" s="23" t="str">
        <f>SUBSTITUTE(SUBSTITUTE(IF(H42=1,VLOOKUP(COUNTIF($H$2:H42,H42),Specyfikacja!$A$5:$D$99,4,0),IF(H42=2,VLOOKUP(COUNTIF($H$2:H42,H42),Specyfikacja!$A$5:$K$99,11,0),"")),"Tak","YES"),"Nie","NO")</f>
        <v/>
      </c>
      <c r="W42" s="646" t="str">
        <f t="shared" ca="1" si="23"/>
        <v>=PODSTAW('ZAMÓWIENIE | WYCENA'!C40;"_";'ZAMÓWIENIE | WYCENA'!$J$13;1)</v>
      </c>
      <c r="X42" s="646">
        <f t="shared" ca="1" si="11"/>
        <v>10</v>
      </c>
      <c r="Y42" s="646">
        <f t="shared" ca="1" si="24"/>
        <v>35</v>
      </c>
      <c r="Z42" s="646" t="str">
        <f t="shared" ca="1" si="25"/>
        <v>'ZAMÓWIENIE | WYCENA'!C40</v>
      </c>
      <c r="AA42" s="647">
        <f t="shared" ca="1" si="27"/>
        <v>89.2</v>
      </c>
      <c r="AB42" s="647">
        <f t="shared" ca="1" si="27"/>
        <v>89.2</v>
      </c>
      <c r="AC42" s="647">
        <f t="shared" ca="1" si="27"/>
        <v>104.9</v>
      </c>
      <c r="AD42" s="646" t="str">
        <f t="shared" si="26"/>
        <v>3341-000-817R-PSW200</v>
      </c>
      <c r="AE42" s="648">
        <f t="shared" ca="1" si="16"/>
        <v>89.2</v>
      </c>
    </row>
    <row r="43" spans="1:31" s="7" customFormat="1" ht="12">
      <c r="A43" s="23">
        <v>42</v>
      </c>
      <c r="B43" s="23" t="str">
        <f>SUBSTITUTE('ZAMÓWIENIE | WYCENA'!C41,"_",'ZAMÓWIENIE | WYCENA'!$J$13,1)</f>
        <v>3341-000-817R-WTA200</v>
      </c>
      <c r="C43" s="15">
        <f>'ZAMÓWIENIE | WYCENA'!J41</f>
        <v>0</v>
      </c>
      <c r="D43" s="14">
        <v>1</v>
      </c>
      <c r="F43" s="16"/>
      <c r="G43" s="16"/>
      <c r="H43" s="24">
        <f>IFERROR(IF(COUNTIFS($H$1:H42,H42)&gt;=VLOOKUP(H42,$A$2:$D$309,4,0),IF(H42=MAX($A$2:$A$317),"",Lista!H42+1),H42),"")</f>
        <v>42</v>
      </c>
      <c r="I43" s="22" t="str">
        <f t="shared" si="21"/>
        <v>3341-000-817R-WTA200</v>
      </c>
      <c r="J43" s="24">
        <f t="shared" si="22"/>
        <v>0</v>
      </c>
      <c r="K43" s="25">
        <f t="shared" si="17"/>
        <v>0</v>
      </c>
      <c r="L43" s="26">
        <f t="shared" si="18"/>
        <v>0</v>
      </c>
      <c r="M43" s="26">
        <f t="shared" si="4"/>
        <v>0</v>
      </c>
      <c r="N43" s="26" t="str">
        <f t="shared" si="5"/>
        <v>SHO</v>
      </c>
      <c r="O43" s="26" t="str">
        <f t="shared" si="6"/>
        <v>IPT</v>
      </c>
      <c r="P43" s="25" t="str">
        <f t="shared" ca="1" si="7"/>
        <v>ND260415_0</v>
      </c>
      <c r="Q43" s="27" t="str">
        <f t="shared" ca="1" si="19"/>
        <v>2026-04-15</v>
      </c>
      <c r="R43" s="26" t="str">
        <f t="shared" si="20"/>
        <v>PLN</v>
      </c>
      <c r="S43" s="23" t="str">
        <f>IF(H43=1,VLOOKUP(COUNTIF($H$2:H43,H43),Specyfikacja!$A$5:$D$99,2,0),IF(H43=2,VLOOKUP(COUNTIF($H$2:H43,H43),Specyfikacja!$A$5:$K$99,9,0),""))</f>
        <v/>
      </c>
      <c r="T43" s="23" t="str">
        <f>IF(H43=1,VLOOKUP(COUNTIF($H$2:H43,H43),Specyfikacja!$A$5:$D$99,3,0),IF(H43=2,VLOOKUP(COUNTIF($H$2:H43,H43),Specyfikacja!$A$5:$K$99,10,0),""))</f>
        <v/>
      </c>
      <c r="U43" s="23" t="str">
        <f>SUBSTITUTE(SUBSTITUTE(IF(H43=1,VLOOKUP(COUNTIF($H$2:H43,H43),Specyfikacja!$A$5:$D$99,4,0),IF(H43=2,VLOOKUP(COUNTIF($H$2:H43,H43),Specyfikacja!$A$5:$K$99,11,0),"")),"Tak","YES"),"Nie","NO")</f>
        <v/>
      </c>
      <c r="W43" s="646" t="str">
        <f t="shared" ca="1" si="23"/>
        <v>=PODSTAW('ZAMÓWIENIE | WYCENA'!C41;"_";'ZAMÓWIENIE | WYCENA'!$J$13;1)</v>
      </c>
      <c r="X43" s="646">
        <f t="shared" ca="1" si="11"/>
        <v>10</v>
      </c>
      <c r="Y43" s="646">
        <f t="shared" ca="1" si="24"/>
        <v>35</v>
      </c>
      <c r="Z43" s="646" t="str">
        <f t="shared" ca="1" si="25"/>
        <v>'ZAMÓWIENIE | WYCENA'!C41</v>
      </c>
      <c r="AA43" s="647">
        <f t="shared" ca="1" si="27"/>
        <v>50.9</v>
      </c>
      <c r="AB43" s="647">
        <f t="shared" ca="1" si="27"/>
        <v>50.9</v>
      </c>
      <c r="AC43" s="647">
        <f t="shared" ca="1" si="27"/>
        <v>59.9</v>
      </c>
      <c r="AD43" s="646" t="str">
        <f t="shared" si="26"/>
        <v>3341-000-817R-WTA200</v>
      </c>
      <c r="AE43" s="648">
        <f t="shared" ca="1" si="16"/>
        <v>50.9</v>
      </c>
    </row>
    <row r="44" spans="1:31" s="7" customFormat="1" ht="12">
      <c r="A44" s="23">
        <v>43</v>
      </c>
      <c r="B44" s="23" t="str">
        <f>SUBSTITUTE('ZAMÓWIENIE | WYCENA'!C42,"_",'ZAMÓWIENIE | WYCENA'!$J$13,1)</f>
        <v>3341-220-817R-WTA200</v>
      </c>
      <c r="C44" s="15">
        <f>'ZAMÓWIENIE | WYCENA'!J42</f>
        <v>0</v>
      </c>
      <c r="D44" s="14">
        <v>1</v>
      </c>
      <c r="F44" s="16"/>
      <c r="G44" s="16"/>
      <c r="H44" s="24">
        <f>IFERROR(IF(COUNTIFS($H$1:H43,H43)&gt;=VLOOKUP(H43,$A$2:$D$309,4,0),IF(H43=MAX($A$2:$A$317),"",Lista!H43+1),H43),"")</f>
        <v>43</v>
      </c>
      <c r="I44" s="22" t="str">
        <f t="shared" si="21"/>
        <v>3341-220-817R-WTA200</v>
      </c>
      <c r="J44" s="24">
        <f t="shared" si="22"/>
        <v>0</v>
      </c>
      <c r="K44" s="25">
        <f t="shared" si="17"/>
        <v>0</v>
      </c>
      <c r="L44" s="26">
        <f t="shared" si="18"/>
        <v>0</v>
      </c>
      <c r="M44" s="26">
        <f t="shared" si="4"/>
        <v>0</v>
      </c>
      <c r="N44" s="26" t="str">
        <f t="shared" si="5"/>
        <v>SHO</v>
      </c>
      <c r="O44" s="26" t="str">
        <f t="shared" si="6"/>
        <v>IPT</v>
      </c>
      <c r="P44" s="25" t="str">
        <f t="shared" ca="1" si="7"/>
        <v>ND260415_0</v>
      </c>
      <c r="Q44" s="27" t="str">
        <f t="shared" ca="1" si="19"/>
        <v>2026-04-15</v>
      </c>
      <c r="R44" s="26" t="str">
        <f t="shared" si="20"/>
        <v>PLN</v>
      </c>
      <c r="S44" s="23" t="str">
        <f>IF(H44=1,VLOOKUP(COUNTIF($H$2:H44,H44),Specyfikacja!$A$5:$D$99,2,0),IF(H44=2,VLOOKUP(COUNTIF($H$2:H44,H44),Specyfikacja!$A$5:$K$99,9,0),""))</f>
        <v/>
      </c>
      <c r="T44" s="23" t="str">
        <f>IF(H44=1,VLOOKUP(COUNTIF($H$2:H44,H44),Specyfikacja!$A$5:$D$99,3,0),IF(H44=2,VLOOKUP(COUNTIF($H$2:H44,H44),Specyfikacja!$A$5:$K$99,10,0),""))</f>
        <v/>
      </c>
      <c r="U44" s="23" t="str">
        <f>SUBSTITUTE(SUBSTITUTE(IF(H44=1,VLOOKUP(COUNTIF($H$2:H44,H44),Specyfikacja!$A$5:$D$99,4,0),IF(H44=2,VLOOKUP(COUNTIF($H$2:H44,H44),Specyfikacja!$A$5:$K$99,11,0),"")),"Tak","YES"),"Nie","NO")</f>
        <v/>
      </c>
      <c r="W44" s="646" t="str">
        <f t="shared" ca="1" si="23"/>
        <v>=PODSTAW('ZAMÓWIENIE | WYCENA'!C42;"_";'ZAMÓWIENIE | WYCENA'!$J$13;1)</v>
      </c>
      <c r="X44" s="646">
        <f t="shared" ca="1" si="11"/>
        <v>10</v>
      </c>
      <c r="Y44" s="646">
        <f t="shared" ca="1" si="24"/>
        <v>35</v>
      </c>
      <c r="Z44" s="646" t="str">
        <f t="shared" ca="1" si="25"/>
        <v>'ZAMÓWIENIE | WYCENA'!C42</v>
      </c>
      <c r="AA44" s="647">
        <f t="shared" ca="1" si="27"/>
        <v>45.5</v>
      </c>
      <c r="AB44" s="647">
        <f t="shared" ca="1" si="27"/>
        <v>45.5</v>
      </c>
      <c r="AC44" s="647">
        <f t="shared" ca="1" si="27"/>
        <v>53.5</v>
      </c>
      <c r="AD44" s="646" t="str">
        <f t="shared" si="26"/>
        <v>3341-220-817R-WTA200</v>
      </c>
      <c r="AE44" s="648">
        <f t="shared" ca="1" si="16"/>
        <v>45.5</v>
      </c>
    </row>
    <row r="45" spans="1:31" s="7" customFormat="1" ht="12">
      <c r="A45" s="23">
        <v>44</v>
      </c>
      <c r="B45" s="23" t="str">
        <f>SUBSTITUTE('ZAMÓWIENIE | WYCENA'!C43,"_",'ZAMÓWIENIE | WYCENA'!$J$13,1)</f>
        <v>3331-000-817R-WTP200</v>
      </c>
      <c r="C45" s="15">
        <f>'ZAMÓWIENIE | WYCENA'!J43</f>
        <v>0</v>
      </c>
      <c r="D45" s="14">
        <v>1</v>
      </c>
      <c r="F45" s="16"/>
      <c r="G45" s="16"/>
      <c r="H45" s="24">
        <f>IFERROR(IF(COUNTIFS($H$1:H44,H44)&gt;=VLOOKUP(H44,$A$2:$D$309,4,0),IF(H44=MAX($A$2:$A$317),"",Lista!H44+1),H44),"")</f>
        <v>44</v>
      </c>
      <c r="I45" s="22" t="str">
        <f t="shared" si="21"/>
        <v>3331-000-817R-WTP200</v>
      </c>
      <c r="J45" s="24">
        <f t="shared" si="22"/>
        <v>0</v>
      </c>
      <c r="K45" s="25">
        <f t="shared" si="17"/>
        <v>0</v>
      </c>
      <c r="L45" s="26">
        <f t="shared" si="18"/>
        <v>0</v>
      </c>
      <c r="M45" s="26">
        <f t="shared" si="4"/>
        <v>0</v>
      </c>
      <c r="N45" s="26" t="str">
        <f t="shared" si="5"/>
        <v>SHO</v>
      </c>
      <c r="O45" s="26" t="str">
        <f t="shared" si="6"/>
        <v>IPT</v>
      </c>
      <c r="P45" s="25" t="str">
        <f t="shared" ca="1" si="7"/>
        <v>ND260415_0</v>
      </c>
      <c r="Q45" s="27" t="str">
        <f t="shared" ca="1" si="19"/>
        <v>2026-04-15</v>
      </c>
      <c r="R45" s="26" t="str">
        <f t="shared" si="20"/>
        <v>PLN</v>
      </c>
      <c r="S45" s="23" t="str">
        <f>IF(H45=1,VLOOKUP(COUNTIF($H$2:H45,H45),Specyfikacja!$A$5:$D$99,2,0),IF(H45=2,VLOOKUP(COUNTIF($H$2:H45,H45),Specyfikacja!$A$5:$K$99,9,0),""))</f>
        <v/>
      </c>
      <c r="T45" s="23" t="str">
        <f>IF(H45=1,VLOOKUP(COUNTIF($H$2:H45,H45),Specyfikacja!$A$5:$D$99,3,0),IF(H45=2,VLOOKUP(COUNTIF($H$2:H45,H45),Specyfikacja!$A$5:$K$99,10,0),""))</f>
        <v/>
      </c>
      <c r="U45" s="23" t="str">
        <f>SUBSTITUTE(SUBSTITUTE(IF(H45=1,VLOOKUP(COUNTIF($H$2:H45,H45),Specyfikacja!$A$5:$D$99,4,0),IF(H45=2,VLOOKUP(COUNTIF($H$2:H45,H45),Specyfikacja!$A$5:$K$99,11,0),"")),"Tak","YES"),"Nie","NO")</f>
        <v/>
      </c>
      <c r="W45" s="646" t="str">
        <f t="shared" ca="1" si="23"/>
        <v>=PODSTAW('ZAMÓWIENIE | WYCENA'!C43;"_";'ZAMÓWIENIE | WYCENA'!$J$13;1)</v>
      </c>
      <c r="X45" s="646">
        <f t="shared" ca="1" si="11"/>
        <v>10</v>
      </c>
      <c r="Y45" s="646">
        <f t="shared" ca="1" si="24"/>
        <v>35</v>
      </c>
      <c r="Z45" s="646" t="str">
        <f t="shared" ca="1" si="25"/>
        <v>'ZAMÓWIENIE | WYCENA'!C43</v>
      </c>
      <c r="AA45" s="647">
        <f t="shared" ca="1" si="27"/>
        <v>37.299999999999997</v>
      </c>
      <c r="AB45" s="647">
        <f t="shared" ca="1" si="27"/>
        <v>37.299999999999997</v>
      </c>
      <c r="AC45" s="647">
        <f t="shared" ca="1" si="27"/>
        <v>43.9</v>
      </c>
      <c r="AD45" s="646" t="str">
        <f t="shared" si="26"/>
        <v>3331-000-817R-WTP200</v>
      </c>
      <c r="AE45" s="648">
        <f t="shared" ca="1" si="16"/>
        <v>37.299999999999997</v>
      </c>
    </row>
    <row r="46" spans="1:31" s="7" customFormat="1" ht="12">
      <c r="A46" s="23">
        <v>45</v>
      </c>
      <c r="B46" s="23" t="str">
        <f>SUBSTITUTE('ZAMÓWIENIE | WYCENA'!C44,"_",'ZAMÓWIENIE | WYCENA'!$J$13,1)</f>
        <v>3340-000-817R-LSP027</v>
      </c>
      <c r="C46" s="15">
        <f>'ZAMÓWIENIE | WYCENA'!J44</f>
        <v>0</v>
      </c>
      <c r="D46" s="14">
        <v>1</v>
      </c>
      <c r="F46" s="16"/>
      <c r="G46" s="16"/>
      <c r="H46" s="24">
        <f>IFERROR(IF(COUNTIFS($H$1:H45,H45)&gt;=VLOOKUP(H45,$A$2:$D$309,4,0),IF(H45=MAX($A$2:$A$317),"",Lista!H45+1),H45),"")</f>
        <v>45</v>
      </c>
      <c r="I46" s="22" t="str">
        <f t="shared" si="21"/>
        <v>3340-000-817R-LSP027</v>
      </c>
      <c r="J46" s="24">
        <f t="shared" si="22"/>
        <v>0</v>
      </c>
      <c r="K46" s="25">
        <f t="shared" si="17"/>
        <v>0</v>
      </c>
      <c r="L46" s="26">
        <f t="shared" si="18"/>
        <v>0</v>
      </c>
      <c r="M46" s="26">
        <f t="shared" si="4"/>
        <v>0</v>
      </c>
      <c r="N46" s="26" t="str">
        <f t="shared" si="5"/>
        <v>SHO</v>
      </c>
      <c r="O46" s="26" t="str">
        <f t="shared" si="6"/>
        <v>IPT</v>
      </c>
      <c r="P46" s="25" t="str">
        <f t="shared" ca="1" si="7"/>
        <v>ND260415_0</v>
      </c>
      <c r="Q46" s="27" t="str">
        <f t="shared" ca="1" si="19"/>
        <v>2026-04-15</v>
      </c>
      <c r="R46" s="26" t="str">
        <f t="shared" si="20"/>
        <v>PLN</v>
      </c>
      <c r="S46" s="23" t="str">
        <f>IF(H46=1,VLOOKUP(COUNTIF($H$2:H46,H46),Specyfikacja!$A$5:$D$99,2,0),IF(H46=2,VLOOKUP(COUNTIF($H$2:H46,H46),Specyfikacja!$A$5:$K$99,9,0),""))</f>
        <v/>
      </c>
      <c r="T46" s="23" t="str">
        <f>IF(H46=1,VLOOKUP(COUNTIF($H$2:H46,H46),Specyfikacja!$A$5:$D$99,3,0),IF(H46=2,VLOOKUP(COUNTIF($H$2:H46,H46),Specyfikacja!$A$5:$K$99,10,0),""))</f>
        <v/>
      </c>
      <c r="U46" s="23" t="str">
        <f>SUBSTITUTE(SUBSTITUTE(IF(H46=1,VLOOKUP(COUNTIF($H$2:H46,H46),Specyfikacja!$A$5:$D$99,4,0),IF(H46=2,VLOOKUP(COUNTIF($H$2:H46,H46),Specyfikacja!$A$5:$K$99,11,0),"")),"Tak","YES"),"Nie","NO")</f>
        <v/>
      </c>
      <c r="W46" s="646" t="str">
        <f t="shared" ca="1" si="23"/>
        <v>=PODSTAW('ZAMÓWIENIE | WYCENA'!C44;"_";'ZAMÓWIENIE | WYCENA'!$J$13;1)</v>
      </c>
      <c r="X46" s="646">
        <f t="shared" ca="1" si="11"/>
        <v>10</v>
      </c>
      <c r="Y46" s="646">
        <f t="shared" ca="1" si="24"/>
        <v>35</v>
      </c>
      <c r="Z46" s="646" t="str">
        <f t="shared" ca="1" si="25"/>
        <v>'ZAMÓWIENIE | WYCENA'!C44</v>
      </c>
      <c r="AA46" s="647">
        <f t="shared" ca="1" si="27"/>
        <v>12.7</v>
      </c>
      <c r="AB46" s="647">
        <f t="shared" ca="1" si="27"/>
        <v>12.7</v>
      </c>
      <c r="AC46" s="647">
        <f t="shared" ca="1" si="27"/>
        <v>14.9</v>
      </c>
      <c r="AD46" s="646" t="str">
        <f t="shared" si="26"/>
        <v>3340-000-817R-LSP027</v>
      </c>
      <c r="AE46" s="648">
        <f t="shared" ca="1" si="16"/>
        <v>12.7</v>
      </c>
    </row>
    <row r="47" spans="1:31" s="7" customFormat="1" ht="12">
      <c r="A47" s="23">
        <v>46</v>
      </c>
      <c r="B47" s="23" t="str">
        <f>SUBSTITUTE('ZAMÓWIENIE | WYCENA'!C45,"_",'ZAMÓWIENIE | WYCENA'!$J$13,1)</f>
        <v>3340-000-817R-LSP048</v>
      </c>
      <c r="C47" s="15">
        <f>'ZAMÓWIENIE | WYCENA'!J45</f>
        <v>0</v>
      </c>
      <c r="D47" s="14">
        <v>1</v>
      </c>
      <c r="F47" s="16"/>
      <c r="G47" s="16"/>
      <c r="H47" s="24">
        <f>IFERROR(IF(COUNTIFS($H$1:H46,H46)&gt;=VLOOKUP(H46,$A$2:$D$309,4,0),IF(H46=MAX($A$2:$A$317),"",Lista!H46+1),H46),"")</f>
        <v>46</v>
      </c>
      <c r="I47" s="22" t="str">
        <f t="shared" si="21"/>
        <v>3340-000-817R-LSP048</v>
      </c>
      <c r="J47" s="24">
        <f t="shared" si="22"/>
        <v>0</v>
      </c>
      <c r="K47" s="25">
        <f t="shared" si="17"/>
        <v>0</v>
      </c>
      <c r="L47" s="26">
        <f t="shared" si="18"/>
        <v>0</v>
      </c>
      <c r="M47" s="26">
        <f t="shared" si="4"/>
        <v>0</v>
      </c>
      <c r="N47" s="26" t="str">
        <f t="shared" si="5"/>
        <v>SHO</v>
      </c>
      <c r="O47" s="26" t="str">
        <f t="shared" si="6"/>
        <v>IPT</v>
      </c>
      <c r="P47" s="25" t="str">
        <f t="shared" ca="1" si="7"/>
        <v>ND260415_0</v>
      </c>
      <c r="Q47" s="27" t="str">
        <f t="shared" ca="1" si="19"/>
        <v>2026-04-15</v>
      </c>
      <c r="R47" s="26" t="str">
        <f t="shared" si="20"/>
        <v>PLN</v>
      </c>
      <c r="S47" s="23" t="str">
        <f>IF(H47=1,VLOOKUP(COUNTIF($H$2:H47,H47),Specyfikacja!$A$5:$D$99,2,0),IF(H47=2,VLOOKUP(COUNTIF($H$2:H47,H47),Specyfikacja!$A$5:$K$99,9,0),""))</f>
        <v/>
      </c>
      <c r="T47" s="23" t="str">
        <f>IF(H47=1,VLOOKUP(COUNTIF($H$2:H47,H47),Specyfikacja!$A$5:$D$99,3,0),IF(H47=2,VLOOKUP(COUNTIF($H$2:H47,H47),Specyfikacja!$A$5:$K$99,10,0),""))</f>
        <v/>
      </c>
      <c r="U47" s="23" t="str">
        <f>SUBSTITUTE(SUBSTITUTE(IF(H47=1,VLOOKUP(COUNTIF($H$2:H47,H47),Specyfikacja!$A$5:$D$99,4,0),IF(H47=2,VLOOKUP(COUNTIF($H$2:H47,H47),Specyfikacja!$A$5:$K$99,11,0),"")),"Tak","YES"),"Nie","NO")</f>
        <v/>
      </c>
      <c r="W47" s="646" t="str">
        <f t="shared" ca="1" si="23"/>
        <v>=PODSTAW('ZAMÓWIENIE | WYCENA'!C45;"_";'ZAMÓWIENIE | WYCENA'!$J$13;1)</v>
      </c>
      <c r="X47" s="646">
        <f t="shared" ca="1" si="11"/>
        <v>10</v>
      </c>
      <c r="Y47" s="646">
        <f t="shared" ca="1" si="24"/>
        <v>35</v>
      </c>
      <c r="Z47" s="646" t="str">
        <f t="shared" ca="1" si="25"/>
        <v>'ZAMÓWIENIE | WYCENA'!C45</v>
      </c>
      <c r="AA47" s="647">
        <f t="shared" ca="1" si="27"/>
        <v>16.899999999999999</v>
      </c>
      <c r="AB47" s="647">
        <f t="shared" ca="1" si="27"/>
        <v>16.899999999999999</v>
      </c>
      <c r="AC47" s="647">
        <f t="shared" ca="1" si="27"/>
        <v>19.899999999999999</v>
      </c>
      <c r="AD47" s="646" t="str">
        <f t="shared" si="26"/>
        <v>3340-000-817R-LSP048</v>
      </c>
      <c r="AE47" s="648">
        <f t="shared" ca="1" si="16"/>
        <v>16.899999999999999</v>
      </c>
    </row>
    <row r="48" spans="1:31" s="7" customFormat="1" ht="12">
      <c r="A48" s="23">
        <v>47</v>
      </c>
      <c r="B48" s="23" t="str">
        <f>SUBSTITUTE('ZAMÓWIENIE | WYCENA'!C46,"_",'ZAMÓWIENIE | WYCENA'!$J$13,1)</f>
        <v>3340-000-817R-LSP200</v>
      </c>
      <c r="C48" s="15">
        <f>'ZAMÓWIENIE | WYCENA'!J46</f>
        <v>0</v>
      </c>
      <c r="D48" s="14">
        <v>1</v>
      </c>
      <c r="F48" s="16"/>
      <c r="G48" s="16"/>
      <c r="H48" s="24">
        <f>IFERROR(IF(COUNTIFS($H$1:H47,H47)&gt;=VLOOKUP(H47,$A$2:$D$309,4,0),IF(H47=MAX($A$2:$A$317),"",Lista!H47+1),H47),"")</f>
        <v>47</v>
      </c>
      <c r="I48" s="22" t="str">
        <f t="shared" si="21"/>
        <v>3340-000-817R-LSP200</v>
      </c>
      <c r="J48" s="24">
        <f t="shared" si="22"/>
        <v>0</v>
      </c>
      <c r="K48" s="25">
        <f t="shared" si="17"/>
        <v>0</v>
      </c>
      <c r="L48" s="26">
        <f t="shared" si="18"/>
        <v>0</v>
      </c>
      <c r="M48" s="26">
        <f t="shared" si="4"/>
        <v>0</v>
      </c>
      <c r="N48" s="26" t="str">
        <f t="shared" si="5"/>
        <v>SHO</v>
      </c>
      <c r="O48" s="26" t="str">
        <f t="shared" si="6"/>
        <v>IPT</v>
      </c>
      <c r="P48" s="25" t="str">
        <f t="shared" ca="1" si="7"/>
        <v>ND260415_0</v>
      </c>
      <c r="Q48" s="27" t="str">
        <f t="shared" ca="1" si="19"/>
        <v>2026-04-15</v>
      </c>
      <c r="R48" s="26" t="str">
        <f t="shared" si="20"/>
        <v>PLN</v>
      </c>
      <c r="S48" s="23" t="str">
        <f>IF(H48=1,VLOOKUP(COUNTIF($H$2:H48,H48),Specyfikacja!$A$5:$D$99,2,0),IF(H48=2,VLOOKUP(COUNTIF($H$2:H48,H48),Specyfikacja!$A$5:$K$99,9,0),""))</f>
        <v/>
      </c>
      <c r="T48" s="23" t="str">
        <f>IF(H48=1,VLOOKUP(COUNTIF($H$2:H48,H48),Specyfikacja!$A$5:$D$99,3,0),IF(H48=2,VLOOKUP(COUNTIF($H$2:H48,H48),Specyfikacja!$A$5:$K$99,10,0),""))</f>
        <v/>
      </c>
      <c r="U48" s="23" t="str">
        <f>SUBSTITUTE(SUBSTITUTE(IF(H48=1,VLOOKUP(COUNTIF($H$2:H48,H48),Specyfikacja!$A$5:$D$99,4,0),IF(H48=2,VLOOKUP(COUNTIF($H$2:H48,H48),Specyfikacja!$A$5:$K$99,11,0),"")),"Tak","YES"),"Nie","NO")</f>
        <v/>
      </c>
      <c r="W48" s="646" t="str">
        <f t="shared" ca="1" si="23"/>
        <v>=PODSTAW('ZAMÓWIENIE | WYCENA'!C46;"_";'ZAMÓWIENIE | WYCENA'!$J$13;1)</v>
      </c>
      <c r="X48" s="646">
        <f t="shared" ca="1" si="11"/>
        <v>10</v>
      </c>
      <c r="Y48" s="646">
        <f t="shared" ca="1" si="24"/>
        <v>35</v>
      </c>
      <c r="Z48" s="646" t="str">
        <f t="shared" ca="1" si="25"/>
        <v>'ZAMÓWIENIE | WYCENA'!C46</v>
      </c>
      <c r="AA48" s="647">
        <f t="shared" ca="1" si="27"/>
        <v>62.8</v>
      </c>
      <c r="AB48" s="647">
        <f t="shared" ca="1" si="27"/>
        <v>62.8</v>
      </c>
      <c r="AC48" s="647">
        <f t="shared" ca="1" si="27"/>
        <v>73.900000000000006</v>
      </c>
      <c r="AD48" s="646" t="str">
        <f t="shared" si="26"/>
        <v>3340-000-817R-LSP200</v>
      </c>
      <c r="AE48" s="648">
        <f t="shared" ca="1" si="16"/>
        <v>62.8</v>
      </c>
    </row>
    <row r="49" spans="1:31" s="7" customFormat="1" ht="12" customHeight="1">
      <c r="A49" s="23">
        <v>48</v>
      </c>
      <c r="B49" s="23" t="s">
        <v>320</v>
      </c>
      <c r="C49" s="15">
        <f>'ZAMÓWIENIE | WYCENA'!F32</f>
        <v>0</v>
      </c>
      <c r="D49" s="14">
        <v>1</v>
      </c>
      <c r="F49" s="16"/>
      <c r="G49" s="16"/>
      <c r="H49" s="24">
        <f>IFERROR(IF(COUNTIFS($H$1:H48,H48)&gt;=VLOOKUP(H48,$A$2:$D$309,4,0),IF(H48=MAX($A$2:$A$317),"",Lista!H48+1),H48),"")</f>
        <v>48</v>
      </c>
      <c r="I49" s="22" t="str">
        <f t="shared" si="21"/>
        <v>3330-125-716U-BPF000</v>
      </c>
      <c r="J49" s="24">
        <f t="shared" si="22"/>
        <v>0</v>
      </c>
      <c r="K49" s="25">
        <f t="shared" si="17"/>
        <v>0</v>
      </c>
      <c r="L49" s="26">
        <f t="shared" si="18"/>
        <v>0</v>
      </c>
      <c r="M49" s="26">
        <f t="shared" si="4"/>
        <v>0</v>
      </c>
      <c r="N49" s="26" t="str">
        <f t="shared" si="5"/>
        <v>SHO</v>
      </c>
      <c r="O49" s="26" t="str">
        <f t="shared" si="6"/>
        <v>IPT</v>
      </c>
      <c r="P49" s="25" t="str">
        <f t="shared" ca="1" si="7"/>
        <v>ND260415_0</v>
      </c>
      <c r="Q49" s="27" t="str">
        <f t="shared" ca="1" si="19"/>
        <v>2026-04-15</v>
      </c>
      <c r="R49" s="26" t="str">
        <f t="shared" si="20"/>
        <v>PLN</v>
      </c>
      <c r="S49" s="23" t="str">
        <f>IF(H49=1,VLOOKUP(COUNTIF($H$2:H49,H49),Specyfikacja!$A$5:$D$99,2,0),IF(H49=2,VLOOKUP(COUNTIF($H$2:H49,H49),Specyfikacja!$A$5:$K$99,9,0),""))</f>
        <v/>
      </c>
      <c r="T49" s="23" t="str">
        <f>IF(H49=1,VLOOKUP(COUNTIF($H$2:H49,H49),Specyfikacja!$A$5:$D$99,3,0),IF(H49=2,VLOOKUP(COUNTIF($H$2:H49,H49),Specyfikacja!$A$5:$K$99,10,0),""))</f>
        <v/>
      </c>
      <c r="U49" s="23" t="str">
        <f>SUBSTITUTE(SUBSTITUTE(IF(H49=1,VLOOKUP(COUNTIF($H$2:H49,H49),Specyfikacja!$A$5:$D$99,4,0),IF(H49=2,VLOOKUP(COUNTIF($H$2:H49,H49),Specyfikacja!$A$5:$K$99,11,0),"")),"Tak","YES"),"Nie","NO")</f>
        <v/>
      </c>
      <c r="W49" s="646"/>
      <c r="X49" s="646"/>
      <c r="Y49" s="646"/>
      <c r="Z49" s="646"/>
      <c r="AA49" s="647"/>
      <c r="AB49" s="647"/>
      <c r="AC49" s="647"/>
      <c r="AD49" s="646"/>
      <c r="AE49" s="648"/>
    </row>
    <row r="50" spans="1:31" s="7" customFormat="1" ht="12" customHeight="1">
      <c r="A50" s="23">
        <v>49</v>
      </c>
      <c r="B50" s="23" t="str">
        <f>SUBSTITUTE('ZAMÓWIENIE | WYCENA'!C37,"_",'ZAMÓWIENIE | WYCENA'!$F$13,1)</f>
        <v>3341-220-716U-GSR200</v>
      </c>
      <c r="C50" s="15">
        <f>'ZAMÓWIENIE | WYCENA'!F37</f>
        <v>0</v>
      </c>
      <c r="D50" s="14">
        <v>1</v>
      </c>
      <c r="F50" s="16"/>
      <c r="G50" s="16"/>
      <c r="H50" s="24">
        <f>IFERROR(IF(COUNTIFS($H$1:H49,H49)&gt;=VLOOKUP(H49,$A$2:$D$309,4,0),IF(H49=MAX($A$2:$A$317),"",Lista!H49+1),H49),"")</f>
        <v>49</v>
      </c>
      <c r="I50" s="22" t="str">
        <f t="shared" si="21"/>
        <v>3341-220-716U-GSR200</v>
      </c>
      <c r="J50" s="24">
        <f t="shared" si="22"/>
        <v>0</v>
      </c>
      <c r="K50" s="25">
        <f t="shared" si="17"/>
        <v>0</v>
      </c>
      <c r="L50" s="26">
        <f t="shared" si="18"/>
        <v>0</v>
      </c>
      <c r="M50" s="26">
        <f t="shared" si="4"/>
        <v>0</v>
      </c>
      <c r="N50" s="26" t="str">
        <f t="shared" si="5"/>
        <v>SHO</v>
      </c>
      <c r="O50" s="26" t="str">
        <f t="shared" si="6"/>
        <v>IPT</v>
      </c>
      <c r="P50" s="25" t="str">
        <f t="shared" ca="1" si="7"/>
        <v>ND260415_0</v>
      </c>
      <c r="Q50" s="27" t="str">
        <f t="shared" ca="1" si="19"/>
        <v>2026-04-15</v>
      </c>
      <c r="R50" s="26" t="str">
        <f t="shared" si="20"/>
        <v>PLN</v>
      </c>
      <c r="S50" s="23" t="str">
        <f>IF(H50=1,VLOOKUP(COUNTIF($H$2:H50,H50),Specyfikacja!$A$5:$D$99,2,0),IF(H50=2,VLOOKUP(COUNTIF($H$2:H50,H50),Specyfikacja!$A$5:$K$99,9,0),""))</f>
        <v/>
      </c>
      <c r="T50" s="23" t="str">
        <f>IF(H50=1,VLOOKUP(COUNTIF($H$2:H50,H50),Specyfikacja!$A$5:$D$99,3,0),IF(H50=2,VLOOKUP(COUNTIF($H$2:H50,H50),Specyfikacja!$A$5:$K$99,10,0),""))</f>
        <v/>
      </c>
      <c r="U50" s="23" t="str">
        <f>SUBSTITUTE(SUBSTITUTE(IF(H50=1,VLOOKUP(COUNTIF($H$2:H50,H50),Specyfikacja!$A$5:$D$99,4,0),IF(H50=2,VLOOKUP(COUNTIF($H$2:H50,H50),Specyfikacja!$A$5:$K$99,11,0),"")),"Tak","YES"),"Nie","NO")</f>
        <v/>
      </c>
      <c r="W50" s="646" t="str">
        <f t="shared" ca="1" si="23"/>
        <v>=PODSTAW('ZAMÓWIENIE | WYCENA'!C37;"_";'ZAMÓWIENIE | WYCENA'!$F$13;1)</v>
      </c>
      <c r="X50" s="646">
        <f t="shared" ca="1" si="11"/>
        <v>10</v>
      </c>
      <c r="Y50" s="646">
        <f t="shared" ca="1" si="24"/>
        <v>35</v>
      </c>
      <c r="Z50" s="646" t="str">
        <f t="shared" ca="1" si="25"/>
        <v>'ZAMÓWIENIE | WYCENA'!C37</v>
      </c>
      <c r="AA50" s="647">
        <f t="shared" ca="1" si="27"/>
        <v>59</v>
      </c>
      <c r="AB50" s="647">
        <f t="shared" ca="1" si="27"/>
        <v>59</v>
      </c>
      <c r="AC50" s="647">
        <f t="shared" ca="1" si="27"/>
        <v>69.400000000000006</v>
      </c>
      <c r="AD50" s="646" t="str">
        <f t="shared" si="26"/>
        <v>3341-220-716U-GSR200</v>
      </c>
      <c r="AE50" s="648">
        <f ca="1">LARGE(AA50:AC50,3)</f>
        <v>59</v>
      </c>
    </row>
    <row r="51" spans="1:31" s="7" customFormat="1" ht="12" customHeight="1">
      <c r="A51" s="23">
        <v>50</v>
      </c>
      <c r="B51" s="23" t="str">
        <f>SUBSTITUTE('ZAMÓWIENIE | WYCENA'!C38,"_",'ZAMÓWIENIE | WYCENA'!$F$13,1)</f>
        <v>3341-293-716U-GSR200</v>
      </c>
      <c r="C51" s="15">
        <f>'ZAMÓWIENIE | WYCENA'!F38</f>
        <v>0</v>
      </c>
      <c r="D51" s="14">
        <v>1</v>
      </c>
      <c r="F51" s="16"/>
      <c r="G51" s="16"/>
      <c r="H51" s="24">
        <f>IFERROR(IF(COUNTIFS($H$1:H50,H50)&gt;=VLOOKUP(H50,$A$2:$D$309,4,0),IF(H50=MAX($A$2:$A$317),"",Lista!H50+1),H50),"")</f>
        <v>50</v>
      </c>
      <c r="I51" s="22" t="str">
        <f t="shared" si="21"/>
        <v>3341-293-716U-GSR200</v>
      </c>
      <c r="J51" s="24">
        <f t="shared" si="22"/>
        <v>0</v>
      </c>
      <c r="K51" s="25">
        <f t="shared" si="17"/>
        <v>0</v>
      </c>
      <c r="L51" s="26">
        <f t="shared" si="18"/>
        <v>0</v>
      </c>
      <c r="M51" s="26">
        <f t="shared" si="4"/>
        <v>0</v>
      </c>
      <c r="N51" s="26" t="str">
        <f t="shared" si="5"/>
        <v>SHO</v>
      </c>
      <c r="O51" s="26" t="str">
        <f t="shared" si="6"/>
        <v>IPT</v>
      </c>
      <c r="P51" s="25" t="str">
        <f t="shared" ca="1" si="7"/>
        <v>ND260415_0</v>
      </c>
      <c r="Q51" s="27" t="str">
        <f t="shared" ca="1" si="19"/>
        <v>2026-04-15</v>
      </c>
      <c r="R51" s="26" t="str">
        <f t="shared" si="20"/>
        <v>PLN</v>
      </c>
      <c r="S51" s="23" t="str">
        <f>IF(H51=1,VLOOKUP(COUNTIF($H$2:H51,H51),Specyfikacja!$A$5:$D$99,2,0),IF(H51=2,VLOOKUP(COUNTIF($H$2:H51,H51),Specyfikacja!$A$5:$K$99,9,0),""))</f>
        <v/>
      </c>
      <c r="T51" s="23" t="str">
        <f>IF(H51=1,VLOOKUP(COUNTIF($H$2:H51,H51),Specyfikacja!$A$5:$D$99,3,0),IF(H51=2,VLOOKUP(COUNTIF($H$2:H51,H51),Specyfikacja!$A$5:$K$99,10,0),""))</f>
        <v/>
      </c>
      <c r="U51" s="23" t="str">
        <f>SUBSTITUTE(SUBSTITUTE(IF(H51=1,VLOOKUP(COUNTIF($H$2:H51,H51),Specyfikacja!$A$5:$D$99,4,0),IF(H51=2,VLOOKUP(COUNTIF($H$2:H51,H51),Specyfikacja!$A$5:$K$99,11,0),"")),"Tak","YES"),"Nie","NO")</f>
        <v/>
      </c>
      <c r="W51" s="646" t="str">
        <f t="shared" ref="W51:W72" ca="1" si="28">_xlfn.FORMULATEXT(B51)</f>
        <v>=PODSTAW('ZAMÓWIENIE | WYCENA'!C38;"_";'ZAMÓWIENIE | WYCENA'!$F$13;1)</v>
      </c>
      <c r="X51" s="646">
        <f t="shared" ca="1" si="11"/>
        <v>10</v>
      </c>
      <c r="Y51" s="646">
        <f t="shared" ref="Y51:Y72" ca="1" si="29">FIND(";",W51)</f>
        <v>35</v>
      </c>
      <c r="Z51" s="646" t="str">
        <f t="shared" ref="Z51:Z72" ca="1" si="30">MID(W51,X51,Y51-X51)</f>
        <v>'ZAMÓWIENIE | WYCENA'!C38</v>
      </c>
      <c r="AA51" s="647">
        <f t="shared" ca="1" si="27"/>
        <v>62.2</v>
      </c>
      <c r="AB51" s="647">
        <f t="shared" ca="1" si="27"/>
        <v>62.2</v>
      </c>
      <c r="AC51" s="647">
        <f t="shared" ca="1" si="27"/>
        <v>73.2</v>
      </c>
      <c r="AD51" s="646" t="str">
        <f t="shared" ref="AD51:AD72" si="31">B51</f>
        <v>3341-293-716U-GSR200</v>
      </c>
      <c r="AE51" s="648">
        <f t="shared" ref="AE51:AE70" ca="1" si="32">LARGE(AA51:AC51,3)</f>
        <v>62.2</v>
      </c>
    </row>
    <row r="52" spans="1:31" s="7" customFormat="1" ht="12" customHeight="1">
      <c r="A52" s="23">
        <v>51</v>
      </c>
      <c r="B52" s="23" t="str">
        <f>SUBSTITUTE('ZAMÓWIENIE | WYCENA'!C39,"_",'ZAMÓWIENIE | WYCENA'!$F$13,1)</f>
        <v>3341-000-716U-PSN200</v>
      </c>
      <c r="C52" s="15">
        <f>'ZAMÓWIENIE | WYCENA'!F39</f>
        <v>0</v>
      </c>
      <c r="D52" s="14">
        <v>1</v>
      </c>
      <c r="F52" s="16"/>
      <c r="G52" s="16"/>
      <c r="H52" s="24">
        <f>IFERROR(IF(COUNTIFS($H$1:H51,H51)&gt;=VLOOKUP(H51,$A$2:$D$309,4,0),IF(H51=MAX($A$2:$A$317),"",Lista!H51+1),H51),"")</f>
        <v>51</v>
      </c>
      <c r="I52" s="22" t="str">
        <f t="shared" si="21"/>
        <v>3341-000-716U-PSN200</v>
      </c>
      <c r="J52" s="24">
        <f t="shared" si="22"/>
        <v>0</v>
      </c>
      <c r="K52" s="25">
        <f t="shared" si="17"/>
        <v>0</v>
      </c>
      <c r="L52" s="26">
        <f t="shared" si="18"/>
        <v>0</v>
      </c>
      <c r="M52" s="26">
        <f t="shared" si="4"/>
        <v>0</v>
      </c>
      <c r="N52" s="26" t="str">
        <f t="shared" si="5"/>
        <v>SHO</v>
      </c>
      <c r="O52" s="26" t="str">
        <f t="shared" si="6"/>
        <v>IPT</v>
      </c>
      <c r="P52" s="25" t="str">
        <f t="shared" ca="1" si="7"/>
        <v>ND260415_0</v>
      </c>
      <c r="Q52" s="27" t="str">
        <f t="shared" ca="1" si="19"/>
        <v>2026-04-15</v>
      </c>
      <c r="R52" s="26" t="str">
        <f t="shared" si="20"/>
        <v>PLN</v>
      </c>
      <c r="S52" s="23" t="str">
        <f>IF(H52=1,VLOOKUP(COUNTIF($H$2:H52,H52),Specyfikacja!$A$5:$D$99,2,0),IF(H52=2,VLOOKUP(COUNTIF($H$2:H52,H52),Specyfikacja!$A$5:$K$99,9,0),""))</f>
        <v/>
      </c>
      <c r="T52" s="23" t="str">
        <f>IF(H52=1,VLOOKUP(COUNTIF($H$2:H52,H52),Specyfikacja!$A$5:$D$99,3,0),IF(H52=2,VLOOKUP(COUNTIF($H$2:H52,H52),Specyfikacja!$A$5:$K$99,10,0),""))</f>
        <v/>
      </c>
      <c r="U52" s="23" t="str">
        <f>SUBSTITUTE(SUBSTITUTE(IF(H52=1,VLOOKUP(COUNTIF($H$2:H52,H52),Specyfikacja!$A$5:$D$99,4,0),IF(H52=2,VLOOKUP(COUNTIF($H$2:H52,H52),Specyfikacja!$A$5:$K$99,11,0),"")),"Tak","YES"),"Nie","NO")</f>
        <v/>
      </c>
      <c r="W52" s="646" t="str">
        <f t="shared" ca="1" si="28"/>
        <v>=PODSTAW('ZAMÓWIENIE | WYCENA'!C39;"_";'ZAMÓWIENIE | WYCENA'!$F$13;1)</v>
      </c>
      <c r="X52" s="646">
        <f t="shared" ca="1" si="11"/>
        <v>10</v>
      </c>
      <c r="Y52" s="646">
        <f t="shared" ca="1" si="29"/>
        <v>35</v>
      </c>
      <c r="Z52" s="646" t="str">
        <f t="shared" ca="1" si="30"/>
        <v>'ZAMÓWIENIE | WYCENA'!C39</v>
      </c>
      <c r="AA52" s="647">
        <f t="shared" ca="1" si="27"/>
        <v>54.3</v>
      </c>
      <c r="AB52" s="647">
        <f t="shared" ca="1" si="27"/>
        <v>54.3</v>
      </c>
      <c r="AC52" s="647">
        <f t="shared" ca="1" si="27"/>
        <v>63.9</v>
      </c>
      <c r="AD52" s="646" t="str">
        <f t="shared" si="31"/>
        <v>3341-000-716U-PSN200</v>
      </c>
      <c r="AE52" s="648">
        <f t="shared" ca="1" si="32"/>
        <v>54.3</v>
      </c>
    </row>
    <row r="53" spans="1:31" s="7" customFormat="1" ht="12" customHeight="1">
      <c r="A53" s="23">
        <v>52</v>
      </c>
      <c r="B53" s="23" t="str">
        <f>SUBSTITUTE('ZAMÓWIENIE | WYCENA'!C40,"_",'ZAMÓWIENIE | WYCENA'!$F$13,1)</f>
        <v>3341-000-716U-PSW200</v>
      </c>
      <c r="C53" s="15">
        <f>'ZAMÓWIENIE | WYCENA'!F40</f>
        <v>0</v>
      </c>
      <c r="D53" s="14">
        <v>1</v>
      </c>
      <c r="F53" s="16"/>
      <c r="G53" s="16"/>
      <c r="H53" s="24">
        <f>IFERROR(IF(COUNTIFS($H$1:H52,H52)&gt;=VLOOKUP(H52,$A$2:$D$309,4,0),IF(H52=MAX($A$2:$A$317),"",Lista!H52+1),H52),"")</f>
        <v>52</v>
      </c>
      <c r="I53" s="22" t="str">
        <f t="shared" si="21"/>
        <v>3341-000-716U-PSW200</v>
      </c>
      <c r="J53" s="24">
        <f t="shared" si="22"/>
        <v>0</v>
      </c>
      <c r="K53" s="25">
        <f t="shared" si="17"/>
        <v>0</v>
      </c>
      <c r="L53" s="26">
        <f t="shared" si="18"/>
        <v>0</v>
      </c>
      <c r="M53" s="26">
        <f t="shared" si="4"/>
        <v>0</v>
      </c>
      <c r="N53" s="26" t="str">
        <f t="shared" si="5"/>
        <v>SHO</v>
      </c>
      <c r="O53" s="26" t="str">
        <f t="shared" si="6"/>
        <v>IPT</v>
      </c>
      <c r="P53" s="25" t="str">
        <f t="shared" ca="1" si="7"/>
        <v>ND260415_0</v>
      </c>
      <c r="Q53" s="27" t="str">
        <f t="shared" ca="1" si="19"/>
        <v>2026-04-15</v>
      </c>
      <c r="R53" s="26" t="str">
        <f t="shared" si="20"/>
        <v>PLN</v>
      </c>
      <c r="S53" s="23" t="str">
        <f>IF(H53=1,VLOOKUP(COUNTIF($H$2:H53,H53),Specyfikacja!$A$5:$D$99,2,0),IF(H53=2,VLOOKUP(COUNTIF($H$2:H53,H53),Specyfikacja!$A$5:$K$99,9,0),""))</f>
        <v/>
      </c>
      <c r="T53" s="23" t="str">
        <f>IF(H53=1,VLOOKUP(COUNTIF($H$2:H53,H53),Specyfikacja!$A$5:$D$99,3,0),IF(H53=2,VLOOKUP(COUNTIF($H$2:H53,H53),Specyfikacja!$A$5:$K$99,10,0),""))</f>
        <v/>
      </c>
      <c r="U53" s="23" t="str">
        <f>SUBSTITUTE(SUBSTITUTE(IF(H53=1,VLOOKUP(COUNTIF($H$2:H53,H53),Specyfikacja!$A$5:$D$99,4,0),IF(H53=2,VLOOKUP(COUNTIF($H$2:H53,H53),Specyfikacja!$A$5:$K$99,11,0),"")),"Tak","YES"),"Nie","NO")</f>
        <v/>
      </c>
      <c r="W53" s="646" t="str">
        <f t="shared" ca="1" si="28"/>
        <v>=PODSTAW('ZAMÓWIENIE | WYCENA'!C40;"_";'ZAMÓWIENIE | WYCENA'!$F$13;1)</v>
      </c>
      <c r="X53" s="646">
        <f t="shared" ca="1" si="11"/>
        <v>10</v>
      </c>
      <c r="Y53" s="646">
        <f t="shared" ca="1" si="29"/>
        <v>35</v>
      </c>
      <c r="Z53" s="646" t="str">
        <f t="shared" ca="1" si="30"/>
        <v>'ZAMÓWIENIE | WYCENA'!C40</v>
      </c>
      <c r="AA53" s="647">
        <f t="shared" ca="1" si="27"/>
        <v>89.2</v>
      </c>
      <c r="AB53" s="647">
        <f t="shared" ca="1" si="27"/>
        <v>89.2</v>
      </c>
      <c r="AC53" s="647">
        <f t="shared" ca="1" si="27"/>
        <v>104.9</v>
      </c>
      <c r="AD53" s="646" t="str">
        <f t="shared" si="31"/>
        <v>3341-000-716U-PSW200</v>
      </c>
      <c r="AE53" s="648">
        <f t="shared" ca="1" si="32"/>
        <v>89.2</v>
      </c>
    </row>
    <row r="54" spans="1:31" s="7" customFormat="1" ht="12" customHeight="1">
      <c r="A54" s="23">
        <v>53</v>
      </c>
      <c r="B54" s="23" t="str">
        <f>SUBSTITUTE('ZAMÓWIENIE | WYCENA'!C41,"_",'ZAMÓWIENIE | WYCENA'!$F$13,1)</f>
        <v>3341-000-716U-WTA200</v>
      </c>
      <c r="C54" s="15">
        <f>'ZAMÓWIENIE | WYCENA'!F41</f>
        <v>0</v>
      </c>
      <c r="D54" s="14">
        <v>1</v>
      </c>
      <c r="F54" s="16"/>
      <c r="G54" s="16"/>
      <c r="H54" s="24">
        <f>IFERROR(IF(COUNTIFS($H$1:H53,H53)&gt;=VLOOKUP(H53,$A$2:$D$309,4,0),IF(H53=MAX($A$2:$A$317),"",Lista!H53+1),H53),"")</f>
        <v>53</v>
      </c>
      <c r="I54" s="22" t="str">
        <f t="shared" si="21"/>
        <v>3341-000-716U-WTA200</v>
      </c>
      <c r="J54" s="24">
        <f t="shared" si="22"/>
        <v>0</v>
      </c>
      <c r="K54" s="25">
        <f t="shared" si="17"/>
        <v>0</v>
      </c>
      <c r="L54" s="26">
        <f t="shared" si="18"/>
        <v>0</v>
      </c>
      <c r="M54" s="26">
        <f t="shared" si="4"/>
        <v>0</v>
      </c>
      <c r="N54" s="26" t="str">
        <f t="shared" si="5"/>
        <v>SHO</v>
      </c>
      <c r="O54" s="26" t="str">
        <f t="shared" si="6"/>
        <v>IPT</v>
      </c>
      <c r="P54" s="25" t="str">
        <f t="shared" ca="1" si="7"/>
        <v>ND260415_0</v>
      </c>
      <c r="Q54" s="27" t="str">
        <f t="shared" ca="1" si="19"/>
        <v>2026-04-15</v>
      </c>
      <c r="R54" s="26" t="str">
        <f t="shared" si="20"/>
        <v>PLN</v>
      </c>
      <c r="S54" s="23" t="str">
        <f>IF(H54=1,VLOOKUP(COUNTIF($H$2:H54,H54),Specyfikacja!$A$5:$D$99,2,0),IF(H54=2,VLOOKUP(COUNTIF($H$2:H54,H54),Specyfikacja!$A$5:$K$99,9,0),""))</f>
        <v/>
      </c>
      <c r="T54" s="23" t="str">
        <f>IF(H54=1,VLOOKUP(COUNTIF($H$2:H54,H54),Specyfikacja!$A$5:$D$99,3,0),IF(H54=2,VLOOKUP(COUNTIF($H$2:H54,H54),Specyfikacja!$A$5:$K$99,10,0),""))</f>
        <v/>
      </c>
      <c r="U54" s="23" t="str">
        <f>SUBSTITUTE(SUBSTITUTE(IF(H54=1,VLOOKUP(COUNTIF($H$2:H54,H54),Specyfikacja!$A$5:$D$99,4,0),IF(H54=2,VLOOKUP(COUNTIF($H$2:H54,H54),Specyfikacja!$A$5:$K$99,11,0),"")),"Tak","YES"),"Nie","NO")</f>
        <v/>
      </c>
      <c r="W54" s="646" t="str">
        <f t="shared" ca="1" si="28"/>
        <v>=PODSTAW('ZAMÓWIENIE | WYCENA'!C41;"_";'ZAMÓWIENIE | WYCENA'!$F$13;1)</v>
      </c>
      <c r="X54" s="646">
        <f t="shared" ca="1" si="11"/>
        <v>10</v>
      </c>
      <c r="Y54" s="646">
        <f t="shared" ca="1" si="29"/>
        <v>35</v>
      </c>
      <c r="Z54" s="646" t="str">
        <f t="shared" ca="1" si="30"/>
        <v>'ZAMÓWIENIE | WYCENA'!C41</v>
      </c>
      <c r="AA54" s="647">
        <f t="shared" ca="1" si="27"/>
        <v>50.9</v>
      </c>
      <c r="AB54" s="647">
        <f t="shared" ca="1" si="27"/>
        <v>50.9</v>
      </c>
      <c r="AC54" s="647">
        <f t="shared" ca="1" si="27"/>
        <v>59.9</v>
      </c>
      <c r="AD54" s="646" t="str">
        <f t="shared" si="31"/>
        <v>3341-000-716U-WTA200</v>
      </c>
      <c r="AE54" s="648">
        <f t="shared" ca="1" si="32"/>
        <v>50.9</v>
      </c>
    </row>
    <row r="55" spans="1:31" s="7" customFormat="1" ht="12" customHeight="1">
      <c r="A55" s="23">
        <v>54</v>
      </c>
      <c r="B55" s="23" t="str">
        <f>SUBSTITUTE('ZAMÓWIENIE | WYCENA'!C42,"_",'ZAMÓWIENIE | WYCENA'!$F$13,1)</f>
        <v>3341-220-716U-WTA200</v>
      </c>
      <c r="C55" s="15">
        <f>'ZAMÓWIENIE | WYCENA'!F42</f>
        <v>0</v>
      </c>
      <c r="D55" s="14">
        <v>1</v>
      </c>
      <c r="F55" s="16"/>
      <c r="G55" s="16"/>
      <c r="H55" s="24">
        <f>IFERROR(IF(COUNTIFS($H$1:H54,H54)&gt;=VLOOKUP(H54,$A$2:$D$309,4,0),IF(H54=MAX($A$2:$A$317),"",Lista!H54+1),H54),"")</f>
        <v>54</v>
      </c>
      <c r="I55" s="22" t="str">
        <f t="shared" si="21"/>
        <v>3341-220-716U-WTA200</v>
      </c>
      <c r="J55" s="24">
        <f t="shared" si="22"/>
        <v>0</v>
      </c>
      <c r="K55" s="25">
        <f t="shared" si="17"/>
        <v>0</v>
      </c>
      <c r="L55" s="26">
        <f t="shared" si="18"/>
        <v>0</v>
      </c>
      <c r="M55" s="26">
        <f t="shared" si="4"/>
        <v>0</v>
      </c>
      <c r="N55" s="26" t="str">
        <f t="shared" si="5"/>
        <v>SHO</v>
      </c>
      <c r="O55" s="26" t="str">
        <f t="shared" si="6"/>
        <v>IPT</v>
      </c>
      <c r="P55" s="25" t="str">
        <f t="shared" ca="1" si="7"/>
        <v>ND260415_0</v>
      </c>
      <c r="Q55" s="27" t="str">
        <f t="shared" ca="1" si="19"/>
        <v>2026-04-15</v>
      </c>
      <c r="R55" s="26" t="str">
        <f t="shared" si="20"/>
        <v>PLN</v>
      </c>
      <c r="S55" s="23" t="str">
        <f>IF(H55=1,VLOOKUP(COUNTIF($H$2:H55,H55),Specyfikacja!$A$5:$D$99,2,0),IF(H55=2,VLOOKUP(COUNTIF($H$2:H55,H55),Specyfikacja!$A$5:$K$99,9,0),""))</f>
        <v/>
      </c>
      <c r="T55" s="23" t="str">
        <f>IF(H55=1,VLOOKUP(COUNTIF($H$2:H55,H55),Specyfikacja!$A$5:$D$99,3,0),IF(H55=2,VLOOKUP(COUNTIF($H$2:H55,H55),Specyfikacja!$A$5:$K$99,10,0),""))</f>
        <v/>
      </c>
      <c r="U55" s="23" t="str">
        <f>SUBSTITUTE(SUBSTITUTE(IF(H55=1,VLOOKUP(COUNTIF($H$2:H55,H55),Specyfikacja!$A$5:$D$99,4,0),IF(H55=2,VLOOKUP(COUNTIF($H$2:H55,H55),Specyfikacja!$A$5:$K$99,11,0),"")),"Tak","YES"),"Nie","NO")</f>
        <v/>
      </c>
      <c r="W55" s="646" t="str">
        <f t="shared" ca="1" si="28"/>
        <v>=PODSTAW('ZAMÓWIENIE | WYCENA'!C42;"_";'ZAMÓWIENIE | WYCENA'!$F$13;1)</v>
      </c>
      <c r="X55" s="646">
        <f t="shared" ca="1" si="11"/>
        <v>10</v>
      </c>
      <c r="Y55" s="646">
        <f t="shared" ca="1" si="29"/>
        <v>35</v>
      </c>
      <c r="Z55" s="646" t="str">
        <f t="shared" ca="1" si="30"/>
        <v>'ZAMÓWIENIE | WYCENA'!C42</v>
      </c>
      <c r="AA55" s="647">
        <f t="shared" ca="1" si="27"/>
        <v>45.5</v>
      </c>
      <c r="AB55" s="647">
        <f t="shared" ca="1" si="27"/>
        <v>45.5</v>
      </c>
      <c r="AC55" s="647">
        <f t="shared" ca="1" si="27"/>
        <v>53.5</v>
      </c>
      <c r="AD55" s="646" t="str">
        <f t="shared" si="31"/>
        <v>3341-220-716U-WTA200</v>
      </c>
      <c r="AE55" s="648">
        <f t="shared" ca="1" si="32"/>
        <v>45.5</v>
      </c>
    </row>
    <row r="56" spans="1:31" s="7" customFormat="1" ht="12" customHeight="1">
      <c r="A56" s="23">
        <v>55</v>
      </c>
      <c r="B56" s="23" t="str">
        <f>SUBSTITUTE('ZAMÓWIENIE | WYCENA'!C43,"_",'ZAMÓWIENIE | WYCENA'!$F$13,1)</f>
        <v>3331-000-716U-WTP200</v>
      </c>
      <c r="C56" s="15">
        <f>'ZAMÓWIENIE | WYCENA'!F43</f>
        <v>0</v>
      </c>
      <c r="D56" s="14">
        <v>1</v>
      </c>
      <c r="F56" s="16"/>
      <c r="G56" s="16"/>
      <c r="H56" s="24">
        <f>IFERROR(IF(COUNTIFS($H$1:H55,H55)&gt;=VLOOKUP(H55,$A$2:$D$309,4,0),IF(H55=MAX($A$2:$A$317),"",Lista!H55+1),H55),"")</f>
        <v>55</v>
      </c>
      <c r="I56" s="22" t="str">
        <f t="shared" si="21"/>
        <v>3331-000-716U-WTP200</v>
      </c>
      <c r="J56" s="24">
        <f t="shared" si="22"/>
        <v>0</v>
      </c>
      <c r="K56" s="25">
        <f t="shared" si="17"/>
        <v>0</v>
      </c>
      <c r="L56" s="26">
        <f t="shared" si="18"/>
        <v>0</v>
      </c>
      <c r="M56" s="26">
        <f t="shared" si="4"/>
        <v>0</v>
      </c>
      <c r="N56" s="26" t="str">
        <f t="shared" si="5"/>
        <v>SHO</v>
      </c>
      <c r="O56" s="26" t="str">
        <f t="shared" si="6"/>
        <v>IPT</v>
      </c>
      <c r="P56" s="25" t="str">
        <f t="shared" ca="1" si="7"/>
        <v>ND260415_0</v>
      </c>
      <c r="Q56" s="27" t="str">
        <f t="shared" ca="1" si="19"/>
        <v>2026-04-15</v>
      </c>
      <c r="R56" s="26" t="str">
        <f t="shared" si="20"/>
        <v>PLN</v>
      </c>
      <c r="S56" s="23" t="str">
        <f>IF(H56=1,VLOOKUP(COUNTIF($H$2:H56,H56),Specyfikacja!$A$5:$D$99,2,0),IF(H56=2,VLOOKUP(COUNTIF($H$2:H56,H56),Specyfikacja!$A$5:$K$99,9,0),""))</f>
        <v/>
      </c>
      <c r="T56" s="23" t="str">
        <f>IF(H56=1,VLOOKUP(COUNTIF($H$2:H56,H56),Specyfikacja!$A$5:$D$99,3,0),IF(H56=2,VLOOKUP(COUNTIF($H$2:H56,H56),Specyfikacja!$A$5:$K$99,10,0),""))</f>
        <v/>
      </c>
      <c r="U56" s="23" t="str">
        <f>SUBSTITUTE(SUBSTITUTE(IF(H56=1,VLOOKUP(COUNTIF($H$2:H56,H56),Specyfikacja!$A$5:$D$99,4,0),IF(H56=2,VLOOKUP(COUNTIF($H$2:H56,H56),Specyfikacja!$A$5:$K$99,11,0),"")),"Tak","YES"),"Nie","NO")</f>
        <v/>
      </c>
      <c r="W56" s="646" t="str">
        <f t="shared" ca="1" si="28"/>
        <v>=PODSTAW('ZAMÓWIENIE | WYCENA'!C43;"_";'ZAMÓWIENIE | WYCENA'!$F$13;1)</v>
      </c>
      <c r="X56" s="646">
        <f t="shared" ca="1" si="11"/>
        <v>10</v>
      </c>
      <c r="Y56" s="646">
        <f t="shared" ca="1" si="29"/>
        <v>35</v>
      </c>
      <c r="Z56" s="646" t="str">
        <f t="shared" ca="1" si="30"/>
        <v>'ZAMÓWIENIE | WYCENA'!C43</v>
      </c>
      <c r="AA56" s="647">
        <f t="shared" ca="1" si="27"/>
        <v>37.299999999999997</v>
      </c>
      <c r="AB56" s="647">
        <f t="shared" ca="1" si="27"/>
        <v>37.299999999999997</v>
      </c>
      <c r="AC56" s="647">
        <f t="shared" ca="1" si="27"/>
        <v>43.9</v>
      </c>
      <c r="AD56" s="646" t="str">
        <f t="shared" si="31"/>
        <v>3331-000-716U-WTP200</v>
      </c>
      <c r="AE56" s="648">
        <f t="shared" ca="1" si="32"/>
        <v>37.299999999999997</v>
      </c>
    </row>
    <row r="57" spans="1:31" s="7" customFormat="1" ht="12" customHeight="1">
      <c r="A57" s="23">
        <v>56</v>
      </c>
      <c r="B57" s="23" t="str">
        <f>SUBSTITUTE('ZAMÓWIENIE | WYCENA'!C44,"_",'ZAMÓWIENIE | WYCENA'!$F$13,1)</f>
        <v>3340-000-716U-LSP027</v>
      </c>
      <c r="C57" s="15">
        <f>'ZAMÓWIENIE | WYCENA'!F44</f>
        <v>0</v>
      </c>
      <c r="D57" s="14">
        <v>1</v>
      </c>
      <c r="F57" s="16"/>
      <c r="G57" s="16"/>
      <c r="H57" s="24">
        <f>IFERROR(IF(COUNTIFS($H$1:H56,H56)&gt;=VLOOKUP(H56,$A$2:$D$309,4,0),IF(H56=MAX($A$2:$A$317),"",Lista!H56+1),H56),"")</f>
        <v>56</v>
      </c>
      <c r="I57" s="22" t="str">
        <f t="shared" si="21"/>
        <v>3340-000-716U-LSP027</v>
      </c>
      <c r="J57" s="24">
        <f t="shared" si="22"/>
        <v>0</v>
      </c>
      <c r="K57" s="25">
        <f t="shared" si="17"/>
        <v>0</v>
      </c>
      <c r="L57" s="26">
        <f t="shared" si="18"/>
        <v>0</v>
      </c>
      <c r="M57" s="26">
        <f t="shared" si="4"/>
        <v>0</v>
      </c>
      <c r="N57" s="26" t="str">
        <f t="shared" si="5"/>
        <v>SHO</v>
      </c>
      <c r="O57" s="26" t="str">
        <f t="shared" si="6"/>
        <v>IPT</v>
      </c>
      <c r="P57" s="25" t="str">
        <f t="shared" ca="1" si="7"/>
        <v>ND260415_0</v>
      </c>
      <c r="Q57" s="27" t="str">
        <f t="shared" ca="1" si="19"/>
        <v>2026-04-15</v>
      </c>
      <c r="R57" s="26" t="str">
        <f t="shared" si="20"/>
        <v>PLN</v>
      </c>
      <c r="S57" s="23" t="str">
        <f>IF(H57=1,VLOOKUP(COUNTIF($H$2:H57,H57),Specyfikacja!$A$5:$D$99,2,0),IF(H57=2,VLOOKUP(COUNTIF($H$2:H57,H57),Specyfikacja!$A$5:$K$99,9,0),""))</f>
        <v/>
      </c>
      <c r="T57" s="23" t="str">
        <f>IF(H57=1,VLOOKUP(COUNTIF($H$2:H57,H57),Specyfikacja!$A$5:$D$99,3,0),IF(H57=2,VLOOKUP(COUNTIF($H$2:H57,H57),Specyfikacja!$A$5:$K$99,10,0),""))</f>
        <v/>
      </c>
      <c r="U57" s="23" t="str">
        <f>SUBSTITUTE(SUBSTITUTE(IF(H57=1,VLOOKUP(COUNTIF($H$2:H57,H57),Specyfikacja!$A$5:$D$99,4,0),IF(H57=2,VLOOKUP(COUNTIF($H$2:H57,H57),Specyfikacja!$A$5:$K$99,11,0),"")),"Tak","YES"),"Nie","NO")</f>
        <v/>
      </c>
      <c r="W57" s="646" t="str">
        <f t="shared" ca="1" si="28"/>
        <v>=PODSTAW('ZAMÓWIENIE | WYCENA'!C44;"_";'ZAMÓWIENIE | WYCENA'!$F$13;1)</v>
      </c>
      <c r="X57" s="646">
        <f t="shared" ca="1" si="11"/>
        <v>10</v>
      </c>
      <c r="Y57" s="646">
        <f t="shared" ca="1" si="29"/>
        <v>35</v>
      </c>
      <c r="Z57" s="646" t="str">
        <f t="shared" ca="1" si="30"/>
        <v>'ZAMÓWIENIE | WYCENA'!C44</v>
      </c>
      <c r="AA57" s="647">
        <f t="shared" ref="AA57:AC80" ca="1" si="33">INDIRECT(SUBSTITUTE($Z57,"'!C","'!"&amp;AA$3))</f>
        <v>12.7</v>
      </c>
      <c r="AB57" s="647">
        <f t="shared" ca="1" si="33"/>
        <v>12.7</v>
      </c>
      <c r="AC57" s="647">
        <f t="shared" ca="1" si="33"/>
        <v>14.9</v>
      </c>
      <c r="AD57" s="646" t="str">
        <f t="shared" si="31"/>
        <v>3340-000-716U-LSP027</v>
      </c>
      <c r="AE57" s="648">
        <f t="shared" ca="1" si="32"/>
        <v>12.7</v>
      </c>
    </row>
    <row r="58" spans="1:31" s="7" customFormat="1" ht="12" customHeight="1">
      <c r="A58" s="23">
        <v>57</v>
      </c>
      <c r="B58" s="23" t="str">
        <f>SUBSTITUTE('ZAMÓWIENIE | WYCENA'!C45,"_",'ZAMÓWIENIE | WYCENA'!$F$13,1)</f>
        <v>3340-000-716U-LSP048</v>
      </c>
      <c r="C58" s="15">
        <f>'ZAMÓWIENIE | WYCENA'!F45</f>
        <v>0</v>
      </c>
      <c r="D58" s="14">
        <v>1</v>
      </c>
      <c r="F58" s="16"/>
      <c r="G58" s="16"/>
      <c r="H58" s="24">
        <f>IFERROR(IF(COUNTIFS($H$1:H57,H57)&gt;=VLOOKUP(H57,$A$2:$D$309,4,0),IF(H57=MAX($A$2:$A$317),"",Lista!H57+1),H57),"")</f>
        <v>57</v>
      </c>
      <c r="I58" s="22" t="str">
        <f t="shared" si="21"/>
        <v>3340-000-716U-LSP048</v>
      </c>
      <c r="J58" s="24">
        <f t="shared" si="22"/>
        <v>0</v>
      </c>
      <c r="K58" s="25">
        <f t="shared" si="17"/>
        <v>0</v>
      </c>
      <c r="L58" s="26">
        <f t="shared" si="18"/>
        <v>0</v>
      </c>
      <c r="M58" s="26">
        <f t="shared" si="4"/>
        <v>0</v>
      </c>
      <c r="N58" s="26" t="str">
        <f t="shared" si="5"/>
        <v>SHO</v>
      </c>
      <c r="O58" s="26" t="str">
        <f t="shared" si="6"/>
        <v>IPT</v>
      </c>
      <c r="P58" s="25" t="str">
        <f t="shared" ca="1" si="7"/>
        <v>ND260415_0</v>
      </c>
      <c r="Q58" s="27" t="str">
        <f t="shared" ca="1" si="19"/>
        <v>2026-04-15</v>
      </c>
      <c r="R58" s="26" t="str">
        <f t="shared" si="20"/>
        <v>PLN</v>
      </c>
      <c r="S58" s="23" t="str">
        <f>IF(H58=1,VLOOKUP(COUNTIF($H$2:H58,H58),Specyfikacja!$A$5:$D$99,2,0),IF(H58=2,VLOOKUP(COUNTIF($H$2:H58,H58),Specyfikacja!$A$5:$K$99,9,0),""))</f>
        <v/>
      </c>
      <c r="T58" s="23" t="str">
        <f>IF(H58=1,VLOOKUP(COUNTIF($H$2:H58,H58),Specyfikacja!$A$5:$D$99,3,0),IF(H58=2,VLOOKUP(COUNTIF($H$2:H58,H58),Specyfikacja!$A$5:$K$99,10,0),""))</f>
        <v/>
      </c>
      <c r="U58" s="23" t="str">
        <f>SUBSTITUTE(SUBSTITUTE(IF(H58=1,VLOOKUP(COUNTIF($H$2:H58,H58),Specyfikacja!$A$5:$D$99,4,0),IF(H58=2,VLOOKUP(COUNTIF($H$2:H58,H58),Specyfikacja!$A$5:$K$99,11,0),"")),"Tak","YES"),"Nie","NO")</f>
        <v/>
      </c>
      <c r="W58" s="646" t="str">
        <f t="shared" ca="1" si="28"/>
        <v>=PODSTAW('ZAMÓWIENIE | WYCENA'!C45;"_";'ZAMÓWIENIE | WYCENA'!$F$13;1)</v>
      </c>
      <c r="X58" s="646">
        <f t="shared" ca="1" si="11"/>
        <v>10</v>
      </c>
      <c r="Y58" s="646">
        <f t="shared" ca="1" si="29"/>
        <v>35</v>
      </c>
      <c r="Z58" s="646" t="str">
        <f t="shared" ca="1" si="30"/>
        <v>'ZAMÓWIENIE | WYCENA'!C45</v>
      </c>
      <c r="AA58" s="647">
        <f t="shared" ca="1" si="33"/>
        <v>16.899999999999999</v>
      </c>
      <c r="AB58" s="647">
        <f t="shared" ca="1" si="33"/>
        <v>16.899999999999999</v>
      </c>
      <c r="AC58" s="647">
        <f t="shared" ca="1" si="33"/>
        <v>19.899999999999999</v>
      </c>
      <c r="AD58" s="646" t="str">
        <f t="shared" si="31"/>
        <v>3340-000-716U-LSP048</v>
      </c>
      <c r="AE58" s="648">
        <f t="shared" ca="1" si="32"/>
        <v>16.899999999999999</v>
      </c>
    </row>
    <row r="59" spans="1:31" s="7" customFormat="1" ht="12" customHeight="1">
      <c r="A59" s="23">
        <v>58</v>
      </c>
      <c r="B59" s="23" t="str">
        <f>SUBSTITUTE('ZAMÓWIENIE | WYCENA'!C46,"_",'ZAMÓWIENIE | WYCENA'!$F$13,1)</f>
        <v>3340-000-716U-LSP200</v>
      </c>
      <c r="C59" s="15">
        <f>'ZAMÓWIENIE | WYCENA'!F46</f>
        <v>0</v>
      </c>
      <c r="D59" s="14">
        <v>1</v>
      </c>
      <c r="F59" s="16"/>
      <c r="G59" s="16"/>
      <c r="H59" s="24">
        <f>IFERROR(IF(COUNTIFS($H$1:H58,H58)&gt;=VLOOKUP(H58,$A$2:$D$309,4,0),IF(H58=MAX($A$2:$A$317),"",Lista!H58+1),H58),"")</f>
        <v>58</v>
      </c>
      <c r="I59" s="22" t="str">
        <f t="shared" si="21"/>
        <v>3340-000-716U-LSP200</v>
      </c>
      <c r="J59" s="24">
        <f t="shared" si="22"/>
        <v>0</v>
      </c>
      <c r="K59" s="25">
        <f t="shared" si="17"/>
        <v>0</v>
      </c>
      <c r="L59" s="26">
        <f t="shared" si="18"/>
        <v>0</v>
      </c>
      <c r="M59" s="26">
        <f t="shared" si="4"/>
        <v>0</v>
      </c>
      <c r="N59" s="26" t="str">
        <f t="shared" si="5"/>
        <v>SHO</v>
      </c>
      <c r="O59" s="26" t="str">
        <f t="shared" si="6"/>
        <v>IPT</v>
      </c>
      <c r="P59" s="25" t="str">
        <f t="shared" ca="1" si="7"/>
        <v>ND260415_0</v>
      </c>
      <c r="Q59" s="27" t="str">
        <f t="shared" ca="1" si="19"/>
        <v>2026-04-15</v>
      </c>
      <c r="R59" s="26" t="str">
        <f t="shared" si="20"/>
        <v>PLN</v>
      </c>
      <c r="S59" s="23" t="str">
        <f>IF(H59=1,VLOOKUP(COUNTIF($H$2:H59,H59),Specyfikacja!$A$5:$D$99,2,0),IF(H59=2,VLOOKUP(COUNTIF($H$2:H59,H59),Specyfikacja!$A$5:$K$99,9,0),""))</f>
        <v/>
      </c>
      <c r="T59" s="23" t="str">
        <f>IF(H59=1,VLOOKUP(COUNTIF($H$2:H59,H59),Specyfikacja!$A$5:$D$99,3,0),IF(H59=2,VLOOKUP(COUNTIF($H$2:H59,H59),Specyfikacja!$A$5:$K$99,10,0),""))</f>
        <v/>
      </c>
      <c r="U59" s="23" t="str">
        <f>SUBSTITUTE(SUBSTITUTE(IF(H59=1,VLOOKUP(COUNTIF($H$2:H59,H59),Specyfikacja!$A$5:$D$99,4,0),IF(H59=2,VLOOKUP(COUNTIF($H$2:H59,H59),Specyfikacja!$A$5:$K$99,11,0),"")),"Tak","YES"),"Nie","NO")</f>
        <v/>
      </c>
      <c r="W59" s="646" t="str">
        <f t="shared" ca="1" si="28"/>
        <v>=PODSTAW('ZAMÓWIENIE | WYCENA'!C46;"_";'ZAMÓWIENIE | WYCENA'!$F$13;1)</v>
      </c>
      <c r="X59" s="646">
        <f t="shared" ca="1" si="11"/>
        <v>10</v>
      </c>
      <c r="Y59" s="646">
        <f t="shared" ca="1" si="29"/>
        <v>35</v>
      </c>
      <c r="Z59" s="646" t="str">
        <f t="shared" ca="1" si="30"/>
        <v>'ZAMÓWIENIE | WYCENA'!C46</v>
      </c>
      <c r="AA59" s="647">
        <f t="shared" ca="1" si="33"/>
        <v>62.8</v>
      </c>
      <c r="AB59" s="647">
        <f t="shared" ca="1" si="33"/>
        <v>62.8</v>
      </c>
      <c r="AC59" s="647">
        <f t="shared" ca="1" si="33"/>
        <v>73.900000000000006</v>
      </c>
      <c r="AD59" s="646" t="str">
        <f t="shared" si="31"/>
        <v>3340-000-716U-LSP200</v>
      </c>
      <c r="AE59" s="648">
        <f t="shared" ca="1" si="32"/>
        <v>62.8</v>
      </c>
    </row>
    <row r="60" spans="1:31" s="7" customFormat="1" ht="12" customHeight="1">
      <c r="A60" s="23">
        <v>59</v>
      </c>
      <c r="B60" s="23" t="s">
        <v>460</v>
      </c>
      <c r="C60" s="15">
        <f>'ZAMÓWIENIE | WYCENA'!G32</f>
        <v>0</v>
      </c>
      <c r="D60" s="14">
        <v>1</v>
      </c>
      <c r="F60" s="16"/>
      <c r="G60" s="16"/>
      <c r="H60" s="24">
        <f>IFERROR(IF(COUNTIFS($H$1:H59,H59)&gt;=VLOOKUP(H59,$A$2:$D$309,4,0),IF(H59=MAX($A$2:$A$317),"",Lista!H59+1),H59),"")</f>
        <v>59</v>
      </c>
      <c r="I60" s="22" t="str">
        <f t="shared" si="21"/>
        <v>3330-125-905U-BPF000</v>
      </c>
      <c r="J60" s="24">
        <f t="shared" si="22"/>
        <v>0</v>
      </c>
      <c r="K60" s="25">
        <f t="shared" si="17"/>
        <v>0</v>
      </c>
      <c r="L60" s="26">
        <f t="shared" si="18"/>
        <v>0</v>
      </c>
      <c r="M60" s="26">
        <f t="shared" si="4"/>
        <v>0</v>
      </c>
      <c r="N60" s="26" t="str">
        <f t="shared" si="5"/>
        <v>SHO</v>
      </c>
      <c r="O60" s="26" t="str">
        <f t="shared" si="6"/>
        <v>IPT</v>
      </c>
      <c r="P60" s="25" t="str">
        <f t="shared" ca="1" si="7"/>
        <v>ND260415_0</v>
      </c>
      <c r="Q60" s="27" t="str">
        <f t="shared" ca="1" si="19"/>
        <v>2026-04-15</v>
      </c>
      <c r="R60" s="26" t="str">
        <f t="shared" si="20"/>
        <v>PLN</v>
      </c>
      <c r="S60" s="23" t="str">
        <f>IF(H60=1,VLOOKUP(COUNTIF($H$2:H60,H60),Specyfikacja!$A$5:$D$99,2,0),IF(H60=2,VLOOKUP(COUNTIF($H$2:H60,H60),Specyfikacja!$A$5:$K$99,9,0),""))</f>
        <v/>
      </c>
      <c r="T60" s="23" t="str">
        <f>IF(H60=1,VLOOKUP(COUNTIF($H$2:H60,H60),Specyfikacja!$A$5:$D$99,3,0),IF(H60=2,VLOOKUP(COUNTIF($H$2:H60,H60),Specyfikacja!$A$5:$K$99,10,0),""))</f>
        <v/>
      </c>
      <c r="U60" s="23" t="str">
        <f>SUBSTITUTE(SUBSTITUTE(IF(H60=1,VLOOKUP(COUNTIF($H$2:H60,H60),Specyfikacja!$A$5:$D$99,4,0),IF(H60=2,VLOOKUP(COUNTIF($H$2:H60,H60),Specyfikacja!$A$5:$K$99,11,0),"")),"Tak","YES"),"Nie","NO")</f>
        <v/>
      </c>
      <c r="W60" s="646"/>
      <c r="X60" s="646"/>
      <c r="Y60" s="646"/>
      <c r="Z60" s="646"/>
      <c r="AA60" s="647"/>
      <c r="AB60" s="647"/>
      <c r="AC60" s="647"/>
      <c r="AD60" s="646"/>
      <c r="AE60" s="648"/>
    </row>
    <row r="61" spans="1:31" s="7" customFormat="1" ht="12" customHeight="1">
      <c r="A61" s="23">
        <v>60</v>
      </c>
      <c r="B61" s="23" t="str">
        <f>SUBSTITUTE('ZAMÓWIENIE | WYCENA'!C37,"_",'ZAMÓWIENIE | WYCENA'!$G$13,1)</f>
        <v>3341-220-905U-GSR200</v>
      </c>
      <c r="C61" s="15">
        <f>'ZAMÓWIENIE | WYCENA'!G37</f>
        <v>0</v>
      </c>
      <c r="D61" s="14">
        <v>1</v>
      </c>
      <c r="F61" s="16"/>
      <c r="G61" s="16"/>
      <c r="H61" s="24">
        <f>IFERROR(IF(COUNTIFS($H$1:H60,H60)&gt;=VLOOKUP(H60,$A$2:$D$309,4,0),IF(H60=MAX($A$2:$A$317),"",Lista!H60+1),H60),"")</f>
        <v>60</v>
      </c>
      <c r="I61" s="22" t="str">
        <f t="shared" si="21"/>
        <v>3341-220-905U-GSR200</v>
      </c>
      <c r="J61" s="24">
        <f t="shared" si="22"/>
        <v>0</v>
      </c>
      <c r="K61" s="25">
        <f t="shared" si="17"/>
        <v>0</v>
      </c>
      <c r="L61" s="26">
        <f t="shared" si="18"/>
        <v>0</v>
      </c>
      <c r="M61" s="26">
        <f t="shared" si="4"/>
        <v>0</v>
      </c>
      <c r="N61" s="26" t="str">
        <f t="shared" si="5"/>
        <v>SHO</v>
      </c>
      <c r="O61" s="26" t="str">
        <f t="shared" si="6"/>
        <v>IPT</v>
      </c>
      <c r="P61" s="25" t="str">
        <f t="shared" ca="1" si="7"/>
        <v>ND260415_0</v>
      </c>
      <c r="Q61" s="27" t="str">
        <f t="shared" ca="1" si="19"/>
        <v>2026-04-15</v>
      </c>
      <c r="R61" s="26" t="str">
        <f t="shared" si="20"/>
        <v>PLN</v>
      </c>
      <c r="S61" s="23" t="str">
        <f>IF(H61=1,VLOOKUP(COUNTIF($H$2:H61,H61),Specyfikacja!$A$5:$D$99,2,0),IF(H61=2,VLOOKUP(COUNTIF($H$2:H61,H61),Specyfikacja!$A$5:$K$99,9,0),""))</f>
        <v/>
      </c>
      <c r="T61" s="23" t="str">
        <f>IF(H61=1,VLOOKUP(COUNTIF($H$2:H61,H61),Specyfikacja!$A$5:$D$99,3,0),IF(H61=2,VLOOKUP(COUNTIF($H$2:H61,H61),Specyfikacja!$A$5:$K$99,10,0),""))</f>
        <v/>
      </c>
      <c r="U61" s="23" t="str">
        <f>SUBSTITUTE(SUBSTITUTE(IF(H61=1,VLOOKUP(COUNTIF($H$2:H61,H61),Specyfikacja!$A$5:$D$99,4,0),IF(H61=2,VLOOKUP(COUNTIF($H$2:H61,H61),Specyfikacja!$A$5:$K$99,11,0),"")),"Tak","YES"),"Nie","NO")</f>
        <v/>
      </c>
      <c r="W61" s="646" t="str">
        <f t="shared" ca="1" si="28"/>
        <v>=PODSTAW('ZAMÓWIENIE | WYCENA'!C37;"_";'ZAMÓWIENIE | WYCENA'!$G$13;1)</v>
      </c>
      <c r="X61" s="646">
        <f t="shared" ca="1" si="11"/>
        <v>10</v>
      </c>
      <c r="Y61" s="646">
        <f t="shared" ca="1" si="29"/>
        <v>35</v>
      </c>
      <c r="Z61" s="646" t="str">
        <f t="shared" ca="1" si="30"/>
        <v>'ZAMÓWIENIE | WYCENA'!C37</v>
      </c>
      <c r="AA61" s="647">
        <f t="shared" ca="1" si="33"/>
        <v>59</v>
      </c>
      <c r="AB61" s="647">
        <f t="shared" ca="1" si="33"/>
        <v>59</v>
      </c>
      <c r="AC61" s="647">
        <f t="shared" ca="1" si="33"/>
        <v>69.400000000000006</v>
      </c>
      <c r="AD61" s="646" t="str">
        <f t="shared" si="31"/>
        <v>3341-220-905U-GSR200</v>
      </c>
      <c r="AE61" s="648">
        <f t="shared" ca="1" si="32"/>
        <v>59</v>
      </c>
    </row>
    <row r="62" spans="1:31" s="7" customFormat="1" ht="12" customHeight="1">
      <c r="A62" s="23">
        <v>61</v>
      </c>
      <c r="B62" s="23" t="str">
        <f>SUBSTITUTE('ZAMÓWIENIE | WYCENA'!C38,"_",'ZAMÓWIENIE | WYCENA'!$G$13,1)</f>
        <v>3341-293-905U-GSR200</v>
      </c>
      <c r="C62" s="15">
        <f>'ZAMÓWIENIE | WYCENA'!G38</f>
        <v>0</v>
      </c>
      <c r="D62" s="14">
        <v>1</v>
      </c>
      <c r="F62" s="16"/>
      <c r="G62" s="16"/>
      <c r="H62" s="24">
        <f>IFERROR(IF(COUNTIFS($H$1:H61,H61)&gt;=VLOOKUP(H61,$A$2:$D$309,4,0),IF(H61=MAX($A$2:$A$317),"",Lista!H61+1),H61),"")</f>
        <v>61</v>
      </c>
      <c r="I62" s="22" t="str">
        <f t="shared" si="21"/>
        <v>3341-293-905U-GSR200</v>
      </c>
      <c r="J62" s="24">
        <f t="shared" si="22"/>
        <v>0</v>
      </c>
      <c r="K62" s="25">
        <f t="shared" si="17"/>
        <v>0</v>
      </c>
      <c r="L62" s="26">
        <f t="shared" si="18"/>
        <v>0</v>
      </c>
      <c r="M62" s="26">
        <f t="shared" si="4"/>
        <v>0</v>
      </c>
      <c r="N62" s="26" t="str">
        <f t="shared" si="5"/>
        <v>SHO</v>
      </c>
      <c r="O62" s="26" t="str">
        <f t="shared" si="6"/>
        <v>IPT</v>
      </c>
      <c r="P62" s="25" t="str">
        <f t="shared" ca="1" si="7"/>
        <v>ND260415_0</v>
      </c>
      <c r="Q62" s="27" t="str">
        <f t="shared" ca="1" si="19"/>
        <v>2026-04-15</v>
      </c>
      <c r="R62" s="26" t="str">
        <f t="shared" si="20"/>
        <v>PLN</v>
      </c>
      <c r="S62" s="23" t="str">
        <f>IF(H62=1,VLOOKUP(COUNTIF($H$2:H62,H62),Specyfikacja!$A$5:$D$99,2,0),IF(H62=2,VLOOKUP(COUNTIF($H$2:H62,H62),Specyfikacja!$A$5:$K$99,9,0),""))</f>
        <v/>
      </c>
      <c r="T62" s="23" t="str">
        <f>IF(H62=1,VLOOKUP(COUNTIF($H$2:H62,H62),Specyfikacja!$A$5:$D$99,3,0),IF(H62=2,VLOOKUP(COUNTIF($H$2:H62,H62),Specyfikacja!$A$5:$K$99,10,0),""))</f>
        <v/>
      </c>
      <c r="U62" s="23" t="str">
        <f>SUBSTITUTE(SUBSTITUTE(IF(H62=1,VLOOKUP(COUNTIF($H$2:H62,H62),Specyfikacja!$A$5:$D$99,4,0),IF(H62=2,VLOOKUP(COUNTIF($H$2:H62,H62),Specyfikacja!$A$5:$K$99,11,0),"")),"Tak","YES"),"Nie","NO")</f>
        <v/>
      </c>
      <c r="W62" s="646" t="str">
        <f t="shared" ca="1" si="28"/>
        <v>=PODSTAW('ZAMÓWIENIE | WYCENA'!C38;"_";'ZAMÓWIENIE | WYCENA'!$G$13;1)</v>
      </c>
      <c r="X62" s="646">
        <f t="shared" ca="1" si="11"/>
        <v>10</v>
      </c>
      <c r="Y62" s="646">
        <f t="shared" ca="1" si="29"/>
        <v>35</v>
      </c>
      <c r="Z62" s="646" t="str">
        <f t="shared" ca="1" si="30"/>
        <v>'ZAMÓWIENIE | WYCENA'!C38</v>
      </c>
      <c r="AA62" s="647">
        <f t="shared" ca="1" si="33"/>
        <v>62.2</v>
      </c>
      <c r="AB62" s="647">
        <f t="shared" ca="1" si="33"/>
        <v>62.2</v>
      </c>
      <c r="AC62" s="647">
        <f t="shared" ca="1" si="33"/>
        <v>73.2</v>
      </c>
      <c r="AD62" s="646" t="str">
        <f t="shared" si="31"/>
        <v>3341-293-905U-GSR200</v>
      </c>
      <c r="AE62" s="648">
        <f t="shared" ca="1" si="32"/>
        <v>62.2</v>
      </c>
    </row>
    <row r="63" spans="1:31" s="7" customFormat="1" ht="12" customHeight="1">
      <c r="A63" s="23">
        <v>62</v>
      </c>
      <c r="B63" s="23" t="str">
        <f>SUBSTITUTE('ZAMÓWIENIE | WYCENA'!C39,"_",'ZAMÓWIENIE | WYCENA'!$G$13,1)</f>
        <v>3341-000-905U-PSN200</v>
      </c>
      <c r="C63" s="15">
        <f>'ZAMÓWIENIE | WYCENA'!G39</f>
        <v>0</v>
      </c>
      <c r="D63" s="14">
        <v>1</v>
      </c>
      <c r="F63" s="16"/>
      <c r="G63" s="16"/>
      <c r="H63" s="24">
        <f>IFERROR(IF(COUNTIFS($H$1:H62,H62)&gt;=VLOOKUP(H62,$A$2:$D$309,4,0),IF(H62=MAX($A$2:$A$317),"",Lista!H62+1),H62),"")</f>
        <v>62</v>
      </c>
      <c r="I63" s="22" t="str">
        <f t="shared" si="21"/>
        <v>3341-000-905U-PSN200</v>
      </c>
      <c r="J63" s="24">
        <f t="shared" si="22"/>
        <v>0</v>
      </c>
      <c r="K63" s="25">
        <f t="shared" si="17"/>
        <v>0</v>
      </c>
      <c r="L63" s="26">
        <f t="shared" si="18"/>
        <v>0</v>
      </c>
      <c r="M63" s="26">
        <f t="shared" si="4"/>
        <v>0</v>
      </c>
      <c r="N63" s="26" t="str">
        <f t="shared" si="5"/>
        <v>SHO</v>
      </c>
      <c r="O63" s="26" t="str">
        <f t="shared" si="6"/>
        <v>IPT</v>
      </c>
      <c r="P63" s="25" t="str">
        <f t="shared" ca="1" si="7"/>
        <v>ND260415_0</v>
      </c>
      <c r="Q63" s="27" t="str">
        <f t="shared" ca="1" si="19"/>
        <v>2026-04-15</v>
      </c>
      <c r="R63" s="26" t="str">
        <f t="shared" si="20"/>
        <v>PLN</v>
      </c>
      <c r="S63" s="23" t="str">
        <f>IF(H63=1,VLOOKUP(COUNTIF($H$2:H63,H63),Specyfikacja!$A$5:$D$99,2,0),IF(H63=2,VLOOKUP(COUNTIF($H$2:H63,H63),Specyfikacja!$A$5:$K$99,9,0),""))</f>
        <v/>
      </c>
      <c r="T63" s="23" t="str">
        <f>IF(H63=1,VLOOKUP(COUNTIF($H$2:H63,H63),Specyfikacja!$A$5:$D$99,3,0),IF(H63=2,VLOOKUP(COUNTIF($H$2:H63,H63),Specyfikacja!$A$5:$K$99,10,0),""))</f>
        <v/>
      </c>
      <c r="U63" s="23" t="str">
        <f>SUBSTITUTE(SUBSTITUTE(IF(H63=1,VLOOKUP(COUNTIF($H$2:H63,H63),Specyfikacja!$A$5:$D$99,4,0),IF(H63=2,VLOOKUP(COUNTIF($H$2:H63,H63),Specyfikacja!$A$5:$K$99,11,0),"")),"Tak","YES"),"Nie","NO")</f>
        <v/>
      </c>
      <c r="W63" s="646" t="str">
        <f t="shared" ca="1" si="28"/>
        <v>=PODSTAW('ZAMÓWIENIE | WYCENA'!C39;"_";'ZAMÓWIENIE | WYCENA'!$G$13;1)</v>
      </c>
      <c r="X63" s="646">
        <f t="shared" ca="1" si="11"/>
        <v>10</v>
      </c>
      <c r="Y63" s="646">
        <f t="shared" ca="1" si="29"/>
        <v>35</v>
      </c>
      <c r="Z63" s="646" t="str">
        <f t="shared" ca="1" si="30"/>
        <v>'ZAMÓWIENIE | WYCENA'!C39</v>
      </c>
      <c r="AA63" s="647">
        <f t="shared" ca="1" si="33"/>
        <v>54.3</v>
      </c>
      <c r="AB63" s="647">
        <f t="shared" ca="1" si="33"/>
        <v>54.3</v>
      </c>
      <c r="AC63" s="647">
        <f t="shared" ca="1" si="33"/>
        <v>63.9</v>
      </c>
      <c r="AD63" s="646" t="str">
        <f t="shared" si="31"/>
        <v>3341-000-905U-PSN200</v>
      </c>
      <c r="AE63" s="648">
        <f t="shared" ca="1" si="32"/>
        <v>54.3</v>
      </c>
    </row>
    <row r="64" spans="1:31" s="7" customFormat="1" ht="12" customHeight="1">
      <c r="A64" s="23">
        <v>63</v>
      </c>
      <c r="B64" s="23" t="str">
        <f>SUBSTITUTE('ZAMÓWIENIE | WYCENA'!C40,"_",'ZAMÓWIENIE | WYCENA'!$G$13,1)</f>
        <v>3341-000-905U-PSW200</v>
      </c>
      <c r="C64" s="15">
        <f>'ZAMÓWIENIE | WYCENA'!G40</f>
        <v>0</v>
      </c>
      <c r="D64" s="14">
        <v>1</v>
      </c>
      <c r="F64" s="16"/>
      <c r="G64" s="16"/>
      <c r="H64" s="24">
        <f>IFERROR(IF(COUNTIFS($H$1:H63,H63)&gt;=VLOOKUP(H63,$A$2:$D$309,4,0),IF(H63=MAX($A$2:$A$317),"",Lista!H63+1),H63),"")</f>
        <v>63</v>
      </c>
      <c r="I64" s="22" t="str">
        <f t="shared" si="21"/>
        <v>3341-000-905U-PSW200</v>
      </c>
      <c r="J64" s="24">
        <f t="shared" si="22"/>
        <v>0</v>
      </c>
      <c r="K64" s="25">
        <f t="shared" si="17"/>
        <v>0</v>
      </c>
      <c r="L64" s="26">
        <f t="shared" si="18"/>
        <v>0</v>
      </c>
      <c r="M64" s="26">
        <f t="shared" si="4"/>
        <v>0</v>
      </c>
      <c r="N64" s="26" t="str">
        <f t="shared" si="5"/>
        <v>SHO</v>
      </c>
      <c r="O64" s="26" t="str">
        <f t="shared" si="6"/>
        <v>IPT</v>
      </c>
      <c r="P64" s="25" t="str">
        <f t="shared" ca="1" si="7"/>
        <v>ND260415_0</v>
      </c>
      <c r="Q64" s="27" t="str">
        <f t="shared" ca="1" si="19"/>
        <v>2026-04-15</v>
      </c>
      <c r="R64" s="26" t="str">
        <f t="shared" si="20"/>
        <v>PLN</v>
      </c>
      <c r="S64" s="23" t="str">
        <f>IF(H64=1,VLOOKUP(COUNTIF($H$2:H64,H64),Specyfikacja!$A$5:$D$99,2,0),IF(H64=2,VLOOKUP(COUNTIF($H$2:H64,H64),Specyfikacja!$A$5:$K$99,9,0),""))</f>
        <v/>
      </c>
      <c r="T64" s="23" t="str">
        <f>IF(H64=1,VLOOKUP(COUNTIF($H$2:H64,H64),Specyfikacja!$A$5:$D$99,3,0),IF(H64=2,VLOOKUP(COUNTIF($H$2:H64,H64),Specyfikacja!$A$5:$K$99,10,0),""))</f>
        <v/>
      </c>
      <c r="U64" s="23" t="str">
        <f>SUBSTITUTE(SUBSTITUTE(IF(H64=1,VLOOKUP(COUNTIF($H$2:H64,H64),Specyfikacja!$A$5:$D$99,4,0),IF(H64=2,VLOOKUP(COUNTIF($H$2:H64,H64),Specyfikacja!$A$5:$K$99,11,0),"")),"Tak","YES"),"Nie","NO")</f>
        <v/>
      </c>
      <c r="W64" s="646" t="str">
        <f t="shared" ca="1" si="28"/>
        <v>=PODSTAW('ZAMÓWIENIE | WYCENA'!C40;"_";'ZAMÓWIENIE | WYCENA'!$G$13;1)</v>
      </c>
      <c r="X64" s="646">
        <f t="shared" ca="1" si="11"/>
        <v>10</v>
      </c>
      <c r="Y64" s="646">
        <f t="shared" ca="1" si="29"/>
        <v>35</v>
      </c>
      <c r="Z64" s="646" t="str">
        <f t="shared" ca="1" si="30"/>
        <v>'ZAMÓWIENIE | WYCENA'!C40</v>
      </c>
      <c r="AA64" s="647">
        <f t="shared" ca="1" si="33"/>
        <v>89.2</v>
      </c>
      <c r="AB64" s="647">
        <f t="shared" ca="1" si="33"/>
        <v>89.2</v>
      </c>
      <c r="AC64" s="647">
        <f t="shared" ca="1" si="33"/>
        <v>104.9</v>
      </c>
      <c r="AD64" s="646" t="str">
        <f t="shared" si="31"/>
        <v>3341-000-905U-PSW200</v>
      </c>
      <c r="AE64" s="648">
        <f t="shared" ca="1" si="32"/>
        <v>89.2</v>
      </c>
    </row>
    <row r="65" spans="1:31" s="7" customFormat="1" ht="12" customHeight="1">
      <c r="A65" s="23">
        <v>64</v>
      </c>
      <c r="B65" s="23" t="str">
        <f>SUBSTITUTE('ZAMÓWIENIE | WYCENA'!C41,"_",'ZAMÓWIENIE | WYCENA'!$G$13,1)</f>
        <v>3341-000-905U-WTA200</v>
      </c>
      <c r="C65" s="15">
        <f>'ZAMÓWIENIE | WYCENA'!G41</f>
        <v>0</v>
      </c>
      <c r="D65" s="14">
        <v>1</v>
      </c>
      <c r="F65" s="16"/>
      <c r="G65" s="16"/>
      <c r="H65" s="24">
        <f>IFERROR(IF(COUNTIFS($H$1:H64,H64)&gt;=VLOOKUP(H64,$A$2:$D$309,4,0),IF(H64=MAX($A$2:$A$317),"",Lista!H64+1),H64),"")</f>
        <v>64</v>
      </c>
      <c r="I65" s="22" t="str">
        <f t="shared" si="21"/>
        <v>3341-000-905U-WTA200</v>
      </c>
      <c r="J65" s="24">
        <f t="shared" si="22"/>
        <v>0</v>
      </c>
      <c r="K65" s="25">
        <f t="shared" si="17"/>
        <v>0</v>
      </c>
      <c r="L65" s="26">
        <f t="shared" si="18"/>
        <v>0</v>
      </c>
      <c r="M65" s="26">
        <f t="shared" si="4"/>
        <v>0</v>
      </c>
      <c r="N65" s="26" t="str">
        <f t="shared" si="5"/>
        <v>SHO</v>
      </c>
      <c r="O65" s="26" t="str">
        <f t="shared" si="6"/>
        <v>IPT</v>
      </c>
      <c r="P65" s="25" t="str">
        <f t="shared" ca="1" si="7"/>
        <v>ND260415_0</v>
      </c>
      <c r="Q65" s="27" t="str">
        <f t="shared" ca="1" si="19"/>
        <v>2026-04-15</v>
      </c>
      <c r="R65" s="26" t="str">
        <f t="shared" si="20"/>
        <v>PLN</v>
      </c>
      <c r="S65" s="23" t="str">
        <f>IF(H65=1,VLOOKUP(COUNTIF($H$2:H65,H65),Specyfikacja!$A$5:$D$99,2,0),IF(H65=2,VLOOKUP(COUNTIF($H$2:H65,H65),Specyfikacja!$A$5:$K$99,9,0),""))</f>
        <v/>
      </c>
      <c r="T65" s="23" t="str">
        <f>IF(H65=1,VLOOKUP(COUNTIF($H$2:H65,H65),Specyfikacja!$A$5:$D$99,3,0),IF(H65=2,VLOOKUP(COUNTIF($H$2:H65,H65),Specyfikacja!$A$5:$K$99,10,0),""))</f>
        <v/>
      </c>
      <c r="U65" s="23" t="str">
        <f>SUBSTITUTE(SUBSTITUTE(IF(H65=1,VLOOKUP(COUNTIF($H$2:H65,H65),Specyfikacja!$A$5:$D$99,4,0),IF(H65=2,VLOOKUP(COUNTIF($H$2:H65,H65),Specyfikacja!$A$5:$K$99,11,0),"")),"Tak","YES"),"Nie","NO")</f>
        <v/>
      </c>
      <c r="W65" s="646" t="str">
        <f t="shared" ca="1" si="28"/>
        <v>=PODSTAW('ZAMÓWIENIE | WYCENA'!C41;"_";'ZAMÓWIENIE | WYCENA'!$G$13;1)</v>
      </c>
      <c r="X65" s="646">
        <f t="shared" ca="1" si="11"/>
        <v>10</v>
      </c>
      <c r="Y65" s="646">
        <f t="shared" ca="1" si="29"/>
        <v>35</v>
      </c>
      <c r="Z65" s="646" t="str">
        <f t="shared" ca="1" si="30"/>
        <v>'ZAMÓWIENIE | WYCENA'!C41</v>
      </c>
      <c r="AA65" s="647">
        <f t="shared" ca="1" si="33"/>
        <v>50.9</v>
      </c>
      <c r="AB65" s="647">
        <f t="shared" ca="1" si="33"/>
        <v>50.9</v>
      </c>
      <c r="AC65" s="647">
        <f t="shared" ca="1" si="33"/>
        <v>59.9</v>
      </c>
      <c r="AD65" s="646" t="str">
        <f t="shared" si="31"/>
        <v>3341-000-905U-WTA200</v>
      </c>
      <c r="AE65" s="648">
        <f t="shared" ca="1" si="32"/>
        <v>50.9</v>
      </c>
    </row>
    <row r="66" spans="1:31" s="7" customFormat="1" ht="12" customHeight="1">
      <c r="A66" s="23">
        <v>65</v>
      </c>
      <c r="B66" s="23" t="str">
        <f>SUBSTITUTE('ZAMÓWIENIE | WYCENA'!C42,"_",'ZAMÓWIENIE | WYCENA'!$G$13,1)</f>
        <v>3341-220-905U-WTA200</v>
      </c>
      <c r="C66" s="15">
        <f>'ZAMÓWIENIE | WYCENA'!G42</f>
        <v>0</v>
      </c>
      <c r="D66" s="14">
        <v>1</v>
      </c>
      <c r="F66" s="16"/>
      <c r="G66" s="16"/>
      <c r="H66" s="24">
        <f>IFERROR(IF(COUNTIFS($H$1:H65,H65)&gt;=VLOOKUP(H65,$A$2:$D$309,4,0),IF(H65=MAX($A$2:$A$317),"",Lista!H65+1),H65),"")</f>
        <v>65</v>
      </c>
      <c r="I66" s="22" t="str">
        <f t="shared" ref="I66:I97" si="34">IFERROR(IF(H66=H65,"",VLOOKUP(H66,$A$2:$B$317,2,0)),"")</f>
        <v>3341-220-905U-WTA200</v>
      </c>
      <c r="J66" s="24">
        <f t="shared" ref="J66:J97" si="35">IFERROR(IF(H66=H65,"",VLOOKUP(H66,$A$2:$C$317,3,0)),"")</f>
        <v>0</v>
      </c>
      <c r="K66" s="25">
        <f t="shared" si="17"/>
        <v>0</v>
      </c>
      <c r="L66" s="26">
        <f t="shared" si="18"/>
        <v>0</v>
      </c>
      <c r="M66" s="26">
        <f t="shared" si="4"/>
        <v>0</v>
      </c>
      <c r="N66" s="26" t="str">
        <f t="shared" si="5"/>
        <v>SHO</v>
      </c>
      <c r="O66" s="26" t="str">
        <f t="shared" si="6"/>
        <v>IPT</v>
      </c>
      <c r="P66" s="25" t="str">
        <f t="shared" ca="1" si="7"/>
        <v>ND260415_0</v>
      </c>
      <c r="Q66" s="27" t="str">
        <f t="shared" ca="1" si="19"/>
        <v>2026-04-15</v>
      </c>
      <c r="R66" s="26" t="str">
        <f t="shared" si="20"/>
        <v>PLN</v>
      </c>
      <c r="S66" s="23" t="str">
        <f>IF(H66=1,VLOOKUP(COUNTIF($H$2:H66,H66),Specyfikacja!$A$5:$D$99,2,0),IF(H66=2,VLOOKUP(COUNTIF($H$2:H66,H66),Specyfikacja!$A$5:$K$99,9,0),""))</f>
        <v/>
      </c>
      <c r="T66" s="23" t="str">
        <f>IF(H66=1,VLOOKUP(COUNTIF($H$2:H66,H66),Specyfikacja!$A$5:$D$99,3,0),IF(H66=2,VLOOKUP(COUNTIF($H$2:H66,H66),Specyfikacja!$A$5:$K$99,10,0),""))</f>
        <v/>
      </c>
      <c r="U66" s="23" t="str">
        <f>SUBSTITUTE(SUBSTITUTE(IF(H66=1,VLOOKUP(COUNTIF($H$2:H66,H66),Specyfikacja!$A$5:$D$99,4,0),IF(H66=2,VLOOKUP(COUNTIF($H$2:H66,H66),Specyfikacja!$A$5:$K$99,11,0),"")),"Tak","YES"),"Nie","NO")</f>
        <v/>
      </c>
      <c r="W66" s="646" t="str">
        <f t="shared" ca="1" si="28"/>
        <v>=PODSTAW('ZAMÓWIENIE | WYCENA'!C42;"_";'ZAMÓWIENIE | WYCENA'!$G$13;1)</v>
      </c>
      <c r="X66" s="646">
        <f t="shared" ca="1" si="11"/>
        <v>10</v>
      </c>
      <c r="Y66" s="646">
        <f t="shared" ca="1" si="29"/>
        <v>35</v>
      </c>
      <c r="Z66" s="646" t="str">
        <f t="shared" ca="1" si="30"/>
        <v>'ZAMÓWIENIE | WYCENA'!C42</v>
      </c>
      <c r="AA66" s="647">
        <f t="shared" ca="1" si="33"/>
        <v>45.5</v>
      </c>
      <c r="AB66" s="647">
        <f t="shared" ca="1" si="33"/>
        <v>45.5</v>
      </c>
      <c r="AC66" s="647">
        <f t="shared" ca="1" si="33"/>
        <v>53.5</v>
      </c>
      <c r="AD66" s="646" t="str">
        <f t="shared" si="31"/>
        <v>3341-220-905U-WTA200</v>
      </c>
      <c r="AE66" s="648">
        <f t="shared" ca="1" si="32"/>
        <v>45.5</v>
      </c>
    </row>
    <row r="67" spans="1:31" s="7" customFormat="1" ht="12" customHeight="1">
      <c r="A67" s="23">
        <v>66</v>
      </c>
      <c r="B67" s="23" t="str">
        <f>SUBSTITUTE('ZAMÓWIENIE | WYCENA'!C43,"_",'ZAMÓWIENIE | WYCENA'!$G$13,1)</f>
        <v>3331-000-905U-WTP200</v>
      </c>
      <c r="C67" s="15">
        <f>'ZAMÓWIENIE | WYCENA'!G43</f>
        <v>0</v>
      </c>
      <c r="D67" s="14">
        <v>1</v>
      </c>
      <c r="F67" s="16"/>
      <c r="G67" s="16"/>
      <c r="H67" s="24">
        <f>IFERROR(IF(COUNTIFS($H$1:H66,H66)&gt;=VLOOKUP(H66,$A$2:$D$309,4,0),IF(H66=MAX($A$2:$A$317),"",Lista!H66+1),H66),"")</f>
        <v>66</v>
      </c>
      <c r="I67" s="22" t="str">
        <f t="shared" si="34"/>
        <v>3331-000-905U-WTP200</v>
      </c>
      <c r="J67" s="24">
        <f t="shared" si="35"/>
        <v>0</v>
      </c>
      <c r="K67" s="25">
        <f t="shared" si="17"/>
        <v>0</v>
      </c>
      <c r="L67" s="26">
        <f t="shared" si="18"/>
        <v>0</v>
      </c>
      <c r="M67" s="26">
        <f t="shared" si="4"/>
        <v>0</v>
      </c>
      <c r="N67" s="26" t="str">
        <f t="shared" si="5"/>
        <v>SHO</v>
      </c>
      <c r="O67" s="26" t="str">
        <f t="shared" si="6"/>
        <v>IPT</v>
      </c>
      <c r="P67" s="25" t="str">
        <f t="shared" ca="1" si="7"/>
        <v>ND260415_0</v>
      </c>
      <c r="Q67" s="27" t="str">
        <f t="shared" ca="1" si="19"/>
        <v>2026-04-15</v>
      </c>
      <c r="R67" s="26" t="str">
        <f t="shared" si="20"/>
        <v>PLN</v>
      </c>
      <c r="S67" s="23" t="str">
        <f>IF(H67=1,VLOOKUP(COUNTIF($H$2:H67,H67),Specyfikacja!$A$5:$D$99,2,0),IF(H67=2,VLOOKUP(COUNTIF($H$2:H67,H67),Specyfikacja!$A$5:$K$99,9,0),""))</f>
        <v/>
      </c>
      <c r="T67" s="23" t="str">
        <f>IF(H67=1,VLOOKUP(COUNTIF($H$2:H67,H67),Specyfikacja!$A$5:$D$99,3,0),IF(H67=2,VLOOKUP(COUNTIF($H$2:H67,H67),Specyfikacja!$A$5:$K$99,10,0),""))</f>
        <v/>
      </c>
      <c r="U67" s="23" t="str">
        <f>SUBSTITUTE(SUBSTITUTE(IF(H67=1,VLOOKUP(COUNTIF($H$2:H67,H67),Specyfikacja!$A$5:$D$99,4,0),IF(H67=2,VLOOKUP(COUNTIF($H$2:H67,H67),Specyfikacja!$A$5:$K$99,11,0),"")),"Tak","YES"),"Nie","NO")</f>
        <v/>
      </c>
      <c r="W67" s="646" t="str">
        <f t="shared" ca="1" si="28"/>
        <v>=PODSTAW('ZAMÓWIENIE | WYCENA'!C43;"_";'ZAMÓWIENIE | WYCENA'!$G$13;1)</v>
      </c>
      <c r="X67" s="646">
        <f t="shared" ca="1" si="11"/>
        <v>10</v>
      </c>
      <c r="Y67" s="646">
        <f t="shared" ca="1" si="29"/>
        <v>35</v>
      </c>
      <c r="Z67" s="646" t="str">
        <f t="shared" ca="1" si="30"/>
        <v>'ZAMÓWIENIE | WYCENA'!C43</v>
      </c>
      <c r="AA67" s="647">
        <f t="shared" ca="1" si="33"/>
        <v>37.299999999999997</v>
      </c>
      <c r="AB67" s="647">
        <f t="shared" ca="1" si="33"/>
        <v>37.299999999999997</v>
      </c>
      <c r="AC67" s="647">
        <f t="shared" ca="1" si="33"/>
        <v>43.9</v>
      </c>
      <c r="AD67" s="646" t="str">
        <f t="shared" si="31"/>
        <v>3331-000-905U-WTP200</v>
      </c>
      <c r="AE67" s="648">
        <f t="shared" ca="1" si="32"/>
        <v>37.299999999999997</v>
      </c>
    </row>
    <row r="68" spans="1:31" s="7" customFormat="1" ht="12" customHeight="1">
      <c r="A68" s="23">
        <v>67</v>
      </c>
      <c r="B68" s="23" t="str">
        <f>SUBSTITUTE('ZAMÓWIENIE | WYCENA'!C44,"_",'ZAMÓWIENIE | WYCENA'!$G$13,1)</f>
        <v>3340-000-905U-LSP027</v>
      </c>
      <c r="C68" s="15">
        <f>'ZAMÓWIENIE | WYCENA'!G44</f>
        <v>0</v>
      </c>
      <c r="D68" s="14">
        <v>1</v>
      </c>
      <c r="F68" s="16"/>
      <c r="G68" s="16"/>
      <c r="H68" s="24">
        <f>IFERROR(IF(COUNTIFS($H$1:H67,H67)&gt;=VLOOKUP(H67,$A$2:$D$309,4,0),IF(H67=MAX($A$2:$A$317),"",Lista!H67+1),H67),"")</f>
        <v>67</v>
      </c>
      <c r="I68" s="22" t="str">
        <f t="shared" si="34"/>
        <v>3340-000-905U-LSP027</v>
      </c>
      <c r="J68" s="24">
        <f t="shared" si="35"/>
        <v>0</v>
      </c>
      <c r="K68" s="25">
        <f t="shared" si="17"/>
        <v>0</v>
      </c>
      <c r="L68" s="26">
        <f t="shared" si="18"/>
        <v>0</v>
      </c>
      <c r="M68" s="26">
        <f t="shared" ref="M68:M131" si="36">IF(H68=H67,"",IF(H68="","",$F$4))</f>
        <v>0</v>
      </c>
      <c r="N68" s="26" t="str">
        <f t="shared" ref="N68:N131" si="37">IF(H68=H67,"",IF(H68="","",$F$5))</f>
        <v>SHO</v>
      </c>
      <c r="O68" s="26" t="str">
        <f t="shared" ref="O68:O131" si="38">IF(H68=H67,"",IF(H68="","",$F$6))</f>
        <v>IPT</v>
      </c>
      <c r="P68" s="25" t="str">
        <f t="shared" ref="P68:P131" ca="1" si="39">IF(H68=H67,"",IF(H68="","",$F$7))</f>
        <v>ND260415_0</v>
      </c>
      <c r="Q68" s="27" t="str">
        <f t="shared" ca="1" si="19"/>
        <v>2026-04-15</v>
      </c>
      <c r="R68" s="26" t="str">
        <f t="shared" si="20"/>
        <v>PLN</v>
      </c>
      <c r="S68" s="23" t="str">
        <f>IF(H68=1,VLOOKUP(COUNTIF($H$2:H68,H68),Specyfikacja!$A$5:$D$99,2,0),IF(H68=2,VLOOKUP(COUNTIF($H$2:H68,H68),Specyfikacja!$A$5:$K$99,9,0),""))</f>
        <v/>
      </c>
      <c r="T68" s="23" t="str">
        <f>IF(H68=1,VLOOKUP(COUNTIF($H$2:H68,H68),Specyfikacja!$A$5:$D$99,3,0),IF(H68=2,VLOOKUP(COUNTIF($H$2:H68,H68),Specyfikacja!$A$5:$K$99,10,0),""))</f>
        <v/>
      </c>
      <c r="U68" s="23" t="str">
        <f>SUBSTITUTE(SUBSTITUTE(IF(H68=1,VLOOKUP(COUNTIF($H$2:H68,H68),Specyfikacja!$A$5:$D$99,4,0),IF(H68=2,VLOOKUP(COUNTIF($H$2:H68,H68),Specyfikacja!$A$5:$K$99,11,0),"")),"Tak","YES"),"Nie","NO")</f>
        <v/>
      </c>
      <c r="W68" s="646" t="str">
        <f t="shared" ca="1" si="28"/>
        <v>=PODSTAW('ZAMÓWIENIE | WYCENA'!C44;"_";'ZAMÓWIENIE | WYCENA'!$G$13;1)</v>
      </c>
      <c r="X68" s="646">
        <f t="shared" ca="1" si="11"/>
        <v>10</v>
      </c>
      <c r="Y68" s="646">
        <f t="shared" ca="1" si="29"/>
        <v>35</v>
      </c>
      <c r="Z68" s="646" t="str">
        <f t="shared" ca="1" si="30"/>
        <v>'ZAMÓWIENIE | WYCENA'!C44</v>
      </c>
      <c r="AA68" s="647">
        <f t="shared" ca="1" si="33"/>
        <v>12.7</v>
      </c>
      <c r="AB68" s="647">
        <f t="shared" ca="1" si="33"/>
        <v>12.7</v>
      </c>
      <c r="AC68" s="647">
        <f t="shared" ca="1" si="33"/>
        <v>14.9</v>
      </c>
      <c r="AD68" s="646" t="str">
        <f t="shared" si="31"/>
        <v>3340-000-905U-LSP027</v>
      </c>
      <c r="AE68" s="648">
        <f t="shared" ca="1" si="32"/>
        <v>12.7</v>
      </c>
    </row>
    <row r="69" spans="1:31" s="7" customFormat="1" ht="12" customHeight="1">
      <c r="A69" s="23">
        <v>68</v>
      </c>
      <c r="B69" s="23" t="str">
        <f>SUBSTITUTE('ZAMÓWIENIE | WYCENA'!C45,"_",'ZAMÓWIENIE | WYCENA'!$G$13,1)</f>
        <v>3340-000-905U-LSP048</v>
      </c>
      <c r="C69" s="15">
        <f>'ZAMÓWIENIE | WYCENA'!G45</f>
        <v>0</v>
      </c>
      <c r="D69" s="14">
        <v>1</v>
      </c>
      <c r="F69" s="16"/>
      <c r="G69" s="16"/>
      <c r="H69" s="24">
        <f>IFERROR(IF(COUNTIFS($H$1:H68,H68)&gt;=VLOOKUP(H68,$A$2:$D$309,4,0),IF(H68=MAX($A$2:$A$317),"",Lista!H68+1),H68),"")</f>
        <v>68</v>
      </c>
      <c r="I69" s="22" t="str">
        <f t="shared" si="34"/>
        <v>3340-000-905U-LSP048</v>
      </c>
      <c r="J69" s="24">
        <f t="shared" si="35"/>
        <v>0</v>
      </c>
      <c r="K69" s="25">
        <f t="shared" si="17"/>
        <v>0</v>
      </c>
      <c r="L69" s="26">
        <f t="shared" si="18"/>
        <v>0</v>
      </c>
      <c r="M69" s="26">
        <f t="shared" si="36"/>
        <v>0</v>
      </c>
      <c r="N69" s="26" t="str">
        <f t="shared" si="37"/>
        <v>SHO</v>
      </c>
      <c r="O69" s="26" t="str">
        <f t="shared" si="38"/>
        <v>IPT</v>
      </c>
      <c r="P69" s="25" t="str">
        <f t="shared" ca="1" si="39"/>
        <v>ND260415_0</v>
      </c>
      <c r="Q69" s="27" t="str">
        <f t="shared" ca="1" si="19"/>
        <v>2026-04-15</v>
      </c>
      <c r="R69" s="26" t="str">
        <f t="shared" si="20"/>
        <v>PLN</v>
      </c>
      <c r="S69" s="23" t="str">
        <f>IF(H69=1,VLOOKUP(COUNTIF($H$2:H69,H69),Specyfikacja!$A$5:$D$99,2,0),IF(H69=2,VLOOKUP(COUNTIF($H$2:H69,H69),Specyfikacja!$A$5:$K$99,9,0),""))</f>
        <v/>
      </c>
      <c r="T69" s="23" t="str">
        <f>IF(H69=1,VLOOKUP(COUNTIF($H$2:H69,H69),Specyfikacja!$A$5:$D$99,3,0),IF(H69=2,VLOOKUP(COUNTIF($H$2:H69,H69),Specyfikacja!$A$5:$K$99,10,0),""))</f>
        <v/>
      </c>
      <c r="U69" s="23" t="str">
        <f>SUBSTITUTE(SUBSTITUTE(IF(H69=1,VLOOKUP(COUNTIF($H$2:H69,H69),Specyfikacja!$A$5:$D$99,4,0),IF(H69=2,VLOOKUP(COUNTIF($H$2:H69,H69),Specyfikacja!$A$5:$K$99,11,0),"")),"Tak","YES"),"Nie","NO")</f>
        <v/>
      </c>
      <c r="W69" s="646" t="str">
        <f t="shared" ca="1" si="28"/>
        <v>=PODSTAW('ZAMÓWIENIE | WYCENA'!C45;"_";'ZAMÓWIENIE | WYCENA'!$G$13;1)</v>
      </c>
      <c r="X69" s="646">
        <f t="shared" ref="X69:X132" ca="1" si="40">FIND("'",W69)</f>
        <v>10</v>
      </c>
      <c r="Y69" s="646">
        <f t="shared" ca="1" si="29"/>
        <v>35</v>
      </c>
      <c r="Z69" s="646" t="str">
        <f t="shared" ca="1" si="30"/>
        <v>'ZAMÓWIENIE | WYCENA'!C45</v>
      </c>
      <c r="AA69" s="647">
        <f t="shared" ca="1" si="33"/>
        <v>16.899999999999999</v>
      </c>
      <c r="AB69" s="647">
        <f t="shared" ca="1" si="33"/>
        <v>16.899999999999999</v>
      </c>
      <c r="AC69" s="647">
        <f t="shared" ca="1" si="33"/>
        <v>19.899999999999999</v>
      </c>
      <c r="AD69" s="646" t="str">
        <f t="shared" si="31"/>
        <v>3340-000-905U-LSP048</v>
      </c>
      <c r="AE69" s="648">
        <f t="shared" ca="1" si="32"/>
        <v>16.899999999999999</v>
      </c>
    </row>
    <row r="70" spans="1:31" s="7" customFormat="1" ht="12" customHeight="1">
      <c r="A70" s="23">
        <v>69</v>
      </c>
      <c r="B70" s="23" t="str">
        <f>SUBSTITUTE('ZAMÓWIENIE | WYCENA'!C46,"_",'ZAMÓWIENIE | WYCENA'!$G$13,1)</f>
        <v>3340-000-905U-LSP200</v>
      </c>
      <c r="C70" s="15">
        <f>'ZAMÓWIENIE | WYCENA'!G46</f>
        <v>0</v>
      </c>
      <c r="D70" s="14">
        <v>1</v>
      </c>
      <c r="F70" s="16"/>
      <c r="G70" s="16"/>
      <c r="H70" s="24">
        <f>IFERROR(IF(COUNTIFS($H$1:H69,H69)&gt;=VLOOKUP(H69,$A$2:$D$309,4,0),IF(H69=MAX($A$2:$A$317),"",Lista!H69+1),H69),"")</f>
        <v>69</v>
      </c>
      <c r="I70" s="22" t="str">
        <f t="shared" si="34"/>
        <v>3340-000-905U-LSP200</v>
      </c>
      <c r="J70" s="24">
        <f t="shared" si="35"/>
        <v>0</v>
      </c>
      <c r="K70" s="25">
        <f t="shared" si="17"/>
        <v>0</v>
      </c>
      <c r="L70" s="26">
        <f t="shared" si="18"/>
        <v>0</v>
      </c>
      <c r="M70" s="26">
        <f t="shared" si="36"/>
        <v>0</v>
      </c>
      <c r="N70" s="26" t="str">
        <f t="shared" si="37"/>
        <v>SHO</v>
      </c>
      <c r="O70" s="26" t="str">
        <f t="shared" si="38"/>
        <v>IPT</v>
      </c>
      <c r="P70" s="25" t="str">
        <f t="shared" ca="1" si="39"/>
        <v>ND260415_0</v>
      </c>
      <c r="Q70" s="27" t="str">
        <f t="shared" ca="1" si="19"/>
        <v>2026-04-15</v>
      </c>
      <c r="R70" s="26" t="str">
        <f t="shared" si="20"/>
        <v>PLN</v>
      </c>
      <c r="S70" s="23" t="str">
        <f>IF(H70=1,VLOOKUP(COUNTIF($H$2:H70,H70),Specyfikacja!$A$5:$D$99,2,0),IF(H70=2,VLOOKUP(COUNTIF($H$2:H70,H70),Specyfikacja!$A$5:$K$99,9,0),""))</f>
        <v/>
      </c>
      <c r="T70" s="23" t="str">
        <f>IF(H70=1,VLOOKUP(COUNTIF($H$2:H70,H70),Specyfikacja!$A$5:$D$99,3,0),IF(H70=2,VLOOKUP(COUNTIF($H$2:H70,H70),Specyfikacja!$A$5:$K$99,10,0),""))</f>
        <v/>
      </c>
      <c r="U70" s="23" t="str">
        <f>SUBSTITUTE(SUBSTITUTE(IF(H70=1,VLOOKUP(COUNTIF($H$2:H70,H70),Specyfikacja!$A$5:$D$99,4,0),IF(H70=2,VLOOKUP(COUNTIF($H$2:H70,H70),Specyfikacja!$A$5:$K$99,11,0),"")),"Tak","YES"),"Nie","NO")</f>
        <v/>
      </c>
      <c r="W70" s="646" t="str">
        <f t="shared" ca="1" si="28"/>
        <v>=PODSTAW('ZAMÓWIENIE | WYCENA'!C46;"_";'ZAMÓWIENIE | WYCENA'!$G$13;1)</v>
      </c>
      <c r="X70" s="646">
        <f t="shared" ca="1" si="40"/>
        <v>10</v>
      </c>
      <c r="Y70" s="646">
        <f t="shared" ca="1" si="29"/>
        <v>35</v>
      </c>
      <c r="Z70" s="646" t="str">
        <f t="shared" ca="1" si="30"/>
        <v>'ZAMÓWIENIE | WYCENA'!C46</v>
      </c>
      <c r="AA70" s="647">
        <f t="shared" ca="1" si="33"/>
        <v>62.8</v>
      </c>
      <c r="AB70" s="647">
        <f t="shared" ca="1" si="33"/>
        <v>62.8</v>
      </c>
      <c r="AC70" s="647">
        <f t="shared" ca="1" si="33"/>
        <v>73.900000000000006</v>
      </c>
      <c r="AD70" s="646" t="str">
        <f t="shared" si="31"/>
        <v>3340-000-905U-LSP200</v>
      </c>
      <c r="AE70" s="648">
        <f t="shared" ca="1" si="32"/>
        <v>62.8</v>
      </c>
    </row>
    <row r="71" spans="1:31" s="7" customFormat="1" ht="12" customHeight="1">
      <c r="A71" s="23">
        <v>70</v>
      </c>
      <c r="B71" s="23" t="s">
        <v>777</v>
      </c>
      <c r="C71" s="15">
        <f>'ZAMÓWIENIE | WYCENA'!K32</f>
        <v>0</v>
      </c>
      <c r="D71" s="14">
        <v>1</v>
      </c>
      <c r="F71" s="16"/>
      <c r="G71" s="16"/>
      <c r="H71" s="24">
        <f>IFERROR(IF(COUNTIFS($H$1:H70,H70)&gt;=VLOOKUP(H70,$A$2:$D$309,4,0),IF(H70=MAX($A$2:$A$317),"",Lista!H70+1),H70),"")</f>
        <v>70</v>
      </c>
      <c r="I71" s="22" t="str">
        <f t="shared" si="34"/>
        <v>3330-125-716M-BPF000</v>
      </c>
      <c r="J71" s="24">
        <f t="shared" si="35"/>
        <v>0</v>
      </c>
      <c r="K71" s="25">
        <f t="shared" si="17"/>
        <v>0</v>
      </c>
      <c r="L71" s="26">
        <f t="shared" si="18"/>
        <v>0</v>
      </c>
      <c r="M71" s="26">
        <f t="shared" si="36"/>
        <v>0</v>
      </c>
      <c r="N71" s="26" t="str">
        <f t="shared" si="37"/>
        <v>SHO</v>
      </c>
      <c r="O71" s="26" t="str">
        <f t="shared" si="38"/>
        <v>IPT</v>
      </c>
      <c r="P71" s="25" t="str">
        <f t="shared" ca="1" si="39"/>
        <v>ND260415_0</v>
      </c>
      <c r="Q71" s="27" t="str">
        <f t="shared" ca="1" si="19"/>
        <v>2026-04-15</v>
      </c>
      <c r="R71" s="26" t="str">
        <f t="shared" si="20"/>
        <v>PLN</v>
      </c>
      <c r="S71" s="23" t="str">
        <f>IF(H71=1,VLOOKUP(COUNTIF($H$2:H71,H71),Specyfikacja!$A$5:$D$99,2,0),IF(H71=2,VLOOKUP(COUNTIF($H$2:H71,H71),Specyfikacja!$A$5:$K$99,9,0),""))</f>
        <v/>
      </c>
      <c r="T71" s="23" t="str">
        <f>IF(H71=1,VLOOKUP(COUNTIF($H$2:H71,H71),Specyfikacja!$A$5:$D$99,3,0),IF(H71=2,VLOOKUP(COUNTIF($H$2:H71,H71),Specyfikacja!$A$5:$K$99,10,0),""))</f>
        <v/>
      </c>
      <c r="U71" s="23" t="str">
        <f>SUBSTITUTE(SUBSTITUTE(IF(H71=1,VLOOKUP(COUNTIF($H$2:H71,H71),Specyfikacja!$A$5:$D$99,4,0),IF(H71=2,VLOOKUP(COUNTIF($H$2:H71,H71),Specyfikacja!$A$5:$K$99,11,0),"")),"Tak","YES"),"Nie","NO")</f>
        <v/>
      </c>
      <c r="W71" s="646"/>
      <c r="X71" s="646"/>
      <c r="Y71" s="646"/>
      <c r="Z71" s="646"/>
      <c r="AA71" s="647"/>
      <c r="AB71" s="647"/>
      <c r="AC71" s="647"/>
      <c r="AD71" s="646"/>
      <c r="AE71" s="648"/>
    </row>
    <row r="72" spans="1:31" s="7" customFormat="1" ht="12" customHeight="1">
      <c r="A72" s="23">
        <v>71</v>
      </c>
      <c r="B72" s="23" t="str">
        <f>SUBSTITUTE('ZAMÓWIENIE | WYCENA'!C37,"_",'ZAMÓWIENIE | WYCENA'!$K$13,1)</f>
        <v>3341-220-716M-GSR200</v>
      </c>
      <c r="C72" s="15">
        <f>'ZAMÓWIENIE | WYCENA'!K37</f>
        <v>0</v>
      </c>
      <c r="D72" s="14">
        <v>1</v>
      </c>
      <c r="F72" s="16"/>
      <c r="G72" s="16"/>
      <c r="H72" s="24">
        <f>IFERROR(IF(COUNTIFS($H$1:H71,H71)&gt;=VLOOKUP(H71,$A$2:$D$309,4,0),IF(H71=MAX($A$2:$A$317),"",Lista!H71+1),H71),"")</f>
        <v>71</v>
      </c>
      <c r="I72" s="22" t="str">
        <f t="shared" si="34"/>
        <v>3341-220-716M-GSR200</v>
      </c>
      <c r="J72" s="24">
        <f t="shared" si="35"/>
        <v>0</v>
      </c>
      <c r="K72" s="25">
        <f t="shared" si="17"/>
        <v>0</v>
      </c>
      <c r="L72" s="26">
        <f t="shared" si="18"/>
        <v>0</v>
      </c>
      <c r="M72" s="26">
        <f t="shared" si="36"/>
        <v>0</v>
      </c>
      <c r="N72" s="26" t="str">
        <f t="shared" si="37"/>
        <v>SHO</v>
      </c>
      <c r="O72" s="26" t="str">
        <f t="shared" si="38"/>
        <v>IPT</v>
      </c>
      <c r="P72" s="25" t="str">
        <f t="shared" ca="1" si="39"/>
        <v>ND260415_0</v>
      </c>
      <c r="Q72" s="27" t="str">
        <f t="shared" ca="1" si="19"/>
        <v>2026-04-15</v>
      </c>
      <c r="R72" s="26" t="str">
        <f t="shared" si="20"/>
        <v>PLN</v>
      </c>
      <c r="S72" s="23" t="str">
        <f>IF(H72=1,VLOOKUP(COUNTIF($H$2:H72,H72),Specyfikacja!$A$5:$D$99,2,0),IF(H72=2,VLOOKUP(COUNTIF($H$2:H72,H72),Specyfikacja!$A$5:$K$99,9,0),""))</f>
        <v/>
      </c>
      <c r="T72" s="23" t="str">
        <f>IF(H72=1,VLOOKUP(COUNTIF($H$2:H72,H72),Specyfikacja!$A$5:$D$99,3,0),IF(H72=2,VLOOKUP(COUNTIF($H$2:H72,H72),Specyfikacja!$A$5:$K$99,10,0),""))</f>
        <v/>
      </c>
      <c r="U72" s="23" t="str">
        <f>SUBSTITUTE(SUBSTITUTE(IF(H72=1,VLOOKUP(COUNTIF($H$2:H72,H72),Specyfikacja!$A$5:$D$99,4,0),IF(H72=2,VLOOKUP(COUNTIF($H$2:H72,H72),Specyfikacja!$A$5:$K$99,11,0),"")),"Tak","YES"),"Nie","NO")</f>
        <v/>
      </c>
      <c r="W72" s="646" t="str">
        <f t="shared" ca="1" si="28"/>
        <v>=PODSTAW('ZAMÓWIENIE | WYCENA'!C37;"_";'ZAMÓWIENIE | WYCENA'!$K$13;1)</v>
      </c>
      <c r="X72" s="646">
        <f t="shared" ca="1" si="40"/>
        <v>10</v>
      </c>
      <c r="Y72" s="646">
        <f t="shared" ca="1" si="29"/>
        <v>35</v>
      </c>
      <c r="Z72" s="646" t="str">
        <f t="shared" ca="1" si="30"/>
        <v>'ZAMÓWIENIE | WYCENA'!C37</v>
      </c>
      <c r="AA72" s="647">
        <f t="shared" ca="1" si="33"/>
        <v>59</v>
      </c>
      <c r="AB72" s="647">
        <f t="shared" ca="1" si="33"/>
        <v>59</v>
      </c>
      <c r="AC72" s="647">
        <f t="shared" ca="1" si="33"/>
        <v>69.400000000000006</v>
      </c>
      <c r="AD72" s="646" t="str">
        <f t="shared" si="31"/>
        <v>3341-220-716M-GSR200</v>
      </c>
      <c r="AE72" s="648">
        <f ca="1">MAX(AA72:AC72)</f>
        <v>69.400000000000006</v>
      </c>
    </row>
    <row r="73" spans="1:31" s="7" customFormat="1" ht="12" customHeight="1">
      <c r="A73" s="23">
        <v>72</v>
      </c>
      <c r="B73" s="23" t="str">
        <f>SUBSTITUTE('ZAMÓWIENIE | WYCENA'!C38,"_",'ZAMÓWIENIE | WYCENA'!$K$13,1)</f>
        <v>3341-293-716M-GSR200</v>
      </c>
      <c r="C73" s="15">
        <f>'ZAMÓWIENIE | WYCENA'!K38</f>
        <v>0</v>
      </c>
      <c r="D73" s="14">
        <v>1</v>
      </c>
      <c r="F73" s="16"/>
      <c r="G73" s="16"/>
      <c r="H73" s="24">
        <f>IFERROR(IF(COUNTIFS($H$1:H72,H72)&gt;=VLOOKUP(H72,$A$2:$D$309,4,0),IF(H72=MAX($A$2:$A$317),"",Lista!H72+1),H72),"")</f>
        <v>72</v>
      </c>
      <c r="I73" s="22" t="str">
        <f t="shared" si="34"/>
        <v>3341-293-716M-GSR200</v>
      </c>
      <c r="J73" s="24">
        <f t="shared" si="35"/>
        <v>0</v>
      </c>
      <c r="K73" s="25">
        <f t="shared" si="17"/>
        <v>0</v>
      </c>
      <c r="L73" s="26">
        <f t="shared" si="18"/>
        <v>0</v>
      </c>
      <c r="M73" s="26">
        <f t="shared" si="36"/>
        <v>0</v>
      </c>
      <c r="N73" s="26" t="str">
        <f t="shared" si="37"/>
        <v>SHO</v>
      </c>
      <c r="O73" s="26" t="str">
        <f t="shared" si="38"/>
        <v>IPT</v>
      </c>
      <c r="P73" s="25" t="str">
        <f t="shared" ca="1" si="39"/>
        <v>ND260415_0</v>
      </c>
      <c r="Q73" s="27" t="str">
        <f t="shared" ca="1" si="19"/>
        <v>2026-04-15</v>
      </c>
      <c r="R73" s="26" t="str">
        <f t="shared" si="20"/>
        <v>PLN</v>
      </c>
      <c r="S73" s="23" t="str">
        <f>IF(H73=1,VLOOKUP(COUNTIF($H$2:H73,H73),Specyfikacja!$A$5:$D$99,2,0),IF(H73=2,VLOOKUP(COUNTIF($H$2:H73,H73),Specyfikacja!$A$5:$K$99,9,0),""))</f>
        <v/>
      </c>
      <c r="T73" s="23" t="str">
        <f>IF(H73=1,VLOOKUP(COUNTIF($H$2:H73,H73),Specyfikacja!$A$5:$D$99,3,0),IF(H73=2,VLOOKUP(COUNTIF($H$2:H73,H73),Specyfikacja!$A$5:$K$99,10,0),""))</f>
        <v/>
      </c>
      <c r="U73" s="23" t="str">
        <f>SUBSTITUTE(SUBSTITUTE(IF(H73=1,VLOOKUP(COUNTIF($H$2:H73,H73),Specyfikacja!$A$5:$D$99,4,0),IF(H73=2,VLOOKUP(COUNTIF($H$2:H73,H73),Specyfikacja!$A$5:$K$99,11,0),"")),"Tak","YES"),"Nie","NO")</f>
        <v/>
      </c>
      <c r="W73" s="646" t="str">
        <f t="shared" ref="W73:W115" ca="1" si="41">_xlfn.FORMULATEXT(B73)</f>
        <v>=PODSTAW('ZAMÓWIENIE | WYCENA'!C38;"_";'ZAMÓWIENIE | WYCENA'!$K$13;1)</v>
      </c>
      <c r="X73" s="646">
        <f t="shared" ca="1" si="40"/>
        <v>10</v>
      </c>
      <c r="Y73" s="646">
        <f t="shared" ref="Y73:Y115" ca="1" si="42">FIND(";",W73)</f>
        <v>35</v>
      </c>
      <c r="Z73" s="646" t="str">
        <f t="shared" ref="Z73:Z115" ca="1" si="43">MID(W73,X73,Y73-X73)</f>
        <v>'ZAMÓWIENIE | WYCENA'!C38</v>
      </c>
      <c r="AA73" s="647">
        <f t="shared" ca="1" si="33"/>
        <v>62.2</v>
      </c>
      <c r="AB73" s="647">
        <f t="shared" ca="1" si="33"/>
        <v>62.2</v>
      </c>
      <c r="AC73" s="647">
        <f t="shared" ca="1" si="33"/>
        <v>73.2</v>
      </c>
      <c r="AD73" s="646" t="str">
        <f t="shared" ref="AD73:AD115" si="44">B73</f>
        <v>3341-293-716M-GSR200</v>
      </c>
      <c r="AE73" s="648">
        <f t="shared" ref="AE73:AE115" ca="1" si="45">MAX(AA73:AC73)</f>
        <v>73.2</v>
      </c>
    </row>
    <row r="74" spans="1:31" s="7" customFormat="1" ht="12" customHeight="1">
      <c r="A74" s="23">
        <v>73</v>
      </c>
      <c r="B74" s="23" t="str">
        <f>SUBSTITUTE('ZAMÓWIENIE | WYCENA'!C39,"_",'ZAMÓWIENIE | WYCENA'!$K$13,1)</f>
        <v>3341-000-716M-PSN200</v>
      </c>
      <c r="C74" s="15">
        <f>'ZAMÓWIENIE | WYCENA'!K39</f>
        <v>0</v>
      </c>
      <c r="D74" s="14">
        <v>1</v>
      </c>
      <c r="F74" s="16"/>
      <c r="G74" s="16"/>
      <c r="H74" s="24">
        <f>IFERROR(IF(COUNTIFS($H$1:H73,H73)&gt;=VLOOKUP(H73,$A$2:$D$309,4,0),IF(H73=MAX($A$2:$A$317),"",Lista!H73+1),H73),"")</f>
        <v>73</v>
      </c>
      <c r="I74" s="22" t="str">
        <f t="shared" si="34"/>
        <v>3341-000-716M-PSN200</v>
      </c>
      <c r="J74" s="24">
        <f t="shared" si="35"/>
        <v>0</v>
      </c>
      <c r="K74" s="25">
        <f t="shared" si="17"/>
        <v>0</v>
      </c>
      <c r="L74" s="26">
        <f t="shared" si="18"/>
        <v>0</v>
      </c>
      <c r="M74" s="26">
        <f t="shared" si="36"/>
        <v>0</v>
      </c>
      <c r="N74" s="26" t="str">
        <f t="shared" si="37"/>
        <v>SHO</v>
      </c>
      <c r="O74" s="26" t="str">
        <f t="shared" si="38"/>
        <v>IPT</v>
      </c>
      <c r="P74" s="25" t="str">
        <f t="shared" ca="1" si="39"/>
        <v>ND260415_0</v>
      </c>
      <c r="Q74" s="27" t="str">
        <f t="shared" ca="1" si="19"/>
        <v>2026-04-15</v>
      </c>
      <c r="R74" s="26" t="str">
        <f t="shared" si="20"/>
        <v>PLN</v>
      </c>
      <c r="S74" s="23" t="str">
        <f>IF(H74=1,VLOOKUP(COUNTIF($H$2:H74,H74),Specyfikacja!$A$5:$D$99,2,0),IF(H74=2,VLOOKUP(COUNTIF($H$2:H74,H74),Specyfikacja!$A$5:$K$99,9,0),""))</f>
        <v/>
      </c>
      <c r="T74" s="23" t="str">
        <f>IF(H74=1,VLOOKUP(COUNTIF($H$2:H74,H74),Specyfikacja!$A$5:$D$99,3,0),IF(H74=2,VLOOKUP(COUNTIF($H$2:H74,H74),Specyfikacja!$A$5:$K$99,10,0),""))</f>
        <v/>
      </c>
      <c r="U74" s="23" t="str">
        <f>SUBSTITUTE(SUBSTITUTE(IF(H74=1,VLOOKUP(COUNTIF($H$2:H74,H74),Specyfikacja!$A$5:$D$99,4,0),IF(H74=2,VLOOKUP(COUNTIF($H$2:H74,H74),Specyfikacja!$A$5:$K$99,11,0),"")),"Tak","YES"),"Nie","NO")</f>
        <v/>
      </c>
      <c r="W74" s="646" t="str">
        <f t="shared" ca="1" si="41"/>
        <v>=PODSTAW('ZAMÓWIENIE | WYCENA'!C39;"_";'ZAMÓWIENIE | WYCENA'!$K$13;1)</v>
      </c>
      <c r="X74" s="646">
        <f t="shared" ca="1" si="40"/>
        <v>10</v>
      </c>
      <c r="Y74" s="646">
        <f t="shared" ca="1" si="42"/>
        <v>35</v>
      </c>
      <c r="Z74" s="646" t="str">
        <f t="shared" ca="1" si="43"/>
        <v>'ZAMÓWIENIE | WYCENA'!C39</v>
      </c>
      <c r="AA74" s="647">
        <f t="shared" ca="1" si="33"/>
        <v>54.3</v>
      </c>
      <c r="AB74" s="647">
        <f t="shared" ca="1" si="33"/>
        <v>54.3</v>
      </c>
      <c r="AC74" s="647">
        <f t="shared" ca="1" si="33"/>
        <v>63.9</v>
      </c>
      <c r="AD74" s="646" t="str">
        <f t="shared" si="44"/>
        <v>3341-000-716M-PSN200</v>
      </c>
      <c r="AE74" s="648">
        <f t="shared" ca="1" si="45"/>
        <v>63.9</v>
      </c>
    </row>
    <row r="75" spans="1:31" s="7" customFormat="1" ht="12" customHeight="1">
      <c r="A75" s="23">
        <v>74</v>
      </c>
      <c r="B75" s="23" t="str">
        <f>SUBSTITUTE('ZAMÓWIENIE | WYCENA'!C40,"_",'ZAMÓWIENIE | WYCENA'!$K$13,1)</f>
        <v>3341-000-716M-PSW200</v>
      </c>
      <c r="C75" s="15">
        <f>'ZAMÓWIENIE | WYCENA'!K40</f>
        <v>0</v>
      </c>
      <c r="D75" s="14">
        <v>1</v>
      </c>
      <c r="F75" s="16"/>
      <c r="G75" s="16"/>
      <c r="H75" s="24">
        <f>IFERROR(IF(COUNTIFS($H$1:H74,H74)&gt;=VLOOKUP(H74,$A$2:$D$309,4,0),IF(H74=MAX($A$2:$A$317),"",Lista!H74+1),H74),"")</f>
        <v>74</v>
      </c>
      <c r="I75" s="22" t="str">
        <f t="shared" si="34"/>
        <v>3341-000-716M-PSW200</v>
      </c>
      <c r="J75" s="24">
        <f t="shared" si="35"/>
        <v>0</v>
      </c>
      <c r="K75" s="25">
        <f t="shared" si="17"/>
        <v>0</v>
      </c>
      <c r="L75" s="26">
        <f t="shared" si="18"/>
        <v>0</v>
      </c>
      <c r="M75" s="26">
        <f t="shared" si="36"/>
        <v>0</v>
      </c>
      <c r="N75" s="26" t="str">
        <f t="shared" si="37"/>
        <v>SHO</v>
      </c>
      <c r="O75" s="26" t="str">
        <f t="shared" si="38"/>
        <v>IPT</v>
      </c>
      <c r="P75" s="25" t="str">
        <f t="shared" ca="1" si="39"/>
        <v>ND260415_0</v>
      </c>
      <c r="Q75" s="27" t="str">
        <f t="shared" ca="1" si="19"/>
        <v>2026-04-15</v>
      </c>
      <c r="R75" s="26" t="str">
        <f t="shared" si="20"/>
        <v>PLN</v>
      </c>
      <c r="S75" s="23" t="str">
        <f>IF(H75=1,VLOOKUP(COUNTIF($H$2:H75,H75),Specyfikacja!$A$5:$D$99,2,0),IF(H75=2,VLOOKUP(COUNTIF($H$2:H75,H75),Specyfikacja!$A$5:$K$99,9,0),""))</f>
        <v/>
      </c>
      <c r="T75" s="23" t="str">
        <f>IF(H75=1,VLOOKUP(COUNTIF($H$2:H75,H75),Specyfikacja!$A$5:$D$99,3,0),IF(H75=2,VLOOKUP(COUNTIF($H$2:H75,H75),Specyfikacja!$A$5:$K$99,10,0),""))</f>
        <v/>
      </c>
      <c r="U75" s="23" t="str">
        <f>SUBSTITUTE(SUBSTITUTE(IF(H75=1,VLOOKUP(COUNTIF($H$2:H75,H75),Specyfikacja!$A$5:$D$99,4,0),IF(H75=2,VLOOKUP(COUNTIF($H$2:H75,H75),Specyfikacja!$A$5:$K$99,11,0),"")),"Tak","YES"),"Nie","NO")</f>
        <v/>
      </c>
      <c r="W75" s="646" t="str">
        <f t="shared" ca="1" si="41"/>
        <v>=PODSTAW('ZAMÓWIENIE | WYCENA'!C40;"_";'ZAMÓWIENIE | WYCENA'!$K$13;1)</v>
      </c>
      <c r="X75" s="646">
        <f t="shared" ca="1" si="40"/>
        <v>10</v>
      </c>
      <c r="Y75" s="646">
        <f t="shared" ca="1" si="42"/>
        <v>35</v>
      </c>
      <c r="Z75" s="646" t="str">
        <f t="shared" ca="1" si="43"/>
        <v>'ZAMÓWIENIE | WYCENA'!C40</v>
      </c>
      <c r="AA75" s="647">
        <f t="shared" ca="1" si="33"/>
        <v>89.2</v>
      </c>
      <c r="AB75" s="647">
        <f t="shared" ca="1" si="33"/>
        <v>89.2</v>
      </c>
      <c r="AC75" s="647">
        <f t="shared" ca="1" si="33"/>
        <v>104.9</v>
      </c>
      <c r="AD75" s="646" t="str">
        <f t="shared" si="44"/>
        <v>3341-000-716M-PSW200</v>
      </c>
      <c r="AE75" s="648">
        <f t="shared" ca="1" si="45"/>
        <v>104.9</v>
      </c>
    </row>
    <row r="76" spans="1:31" s="7" customFormat="1" ht="12" customHeight="1">
      <c r="A76" s="23">
        <v>75</v>
      </c>
      <c r="B76" s="23" t="str">
        <f>SUBSTITUTE('ZAMÓWIENIE | WYCENA'!C41,"_",'ZAMÓWIENIE | WYCENA'!$K$13,1)</f>
        <v>3341-000-716M-WTA200</v>
      </c>
      <c r="C76" s="15">
        <f>'ZAMÓWIENIE | WYCENA'!K41</f>
        <v>0</v>
      </c>
      <c r="D76" s="14">
        <v>1</v>
      </c>
      <c r="F76" s="16"/>
      <c r="G76" s="16"/>
      <c r="H76" s="24">
        <f>IFERROR(IF(COUNTIFS($H$1:H75,H75)&gt;=VLOOKUP(H75,$A$2:$D$309,4,0),IF(H75=MAX($A$2:$A$317),"",Lista!H75+1),H75),"")</f>
        <v>75</v>
      </c>
      <c r="I76" s="22" t="str">
        <f t="shared" si="34"/>
        <v>3341-000-716M-WTA200</v>
      </c>
      <c r="J76" s="24">
        <f t="shared" si="35"/>
        <v>0</v>
      </c>
      <c r="K76" s="25">
        <f t="shared" si="17"/>
        <v>0</v>
      </c>
      <c r="L76" s="26">
        <f t="shared" si="18"/>
        <v>0</v>
      </c>
      <c r="M76" s="26">
        <f t="shared" si="36"/>
        <v>0</v>
      </c>
      <c r="N76" s="26" t="str">
        <f t="shared" si="37"/>
        <v>SHO</v>
      </c>
      <c r="O76" s="26" t="str">
        <f t="shared" si="38"/>
        <v>IPT</v>
      </c>
      <c r="P76" s="25" t="str">
        <f t="shared" ca="1" si="39"/>
        <v>ND260415_0</v>
      </c>
      <c r="Q76" s="27" t="str">
        <f t="shared" ca="1" si="19"/>
        <v>2026-04-15</v>
      </c>
      <c r="R76" s="26" t="str">
        <f t="shared" si="20"/>
        <v>PLN</v>
      </c>
      <c r="S76" s="23" t="str">
        <f>IF(H76=1,VLOOKUP(COUNTIF($H$2:H76,H76),Specyfikacja!$A$5:$D$99,2,0),IF(H76=2,VLOOKUP(COUNTIF($H$2:H76,H76),Specyfikacja!$A$5:$K$99,9,0),""))</f>
        <v/>
      </c>
      <c r="T76" s="23" t="str">
        <f>IF(H76=1,VLOOKUP(COUNTIF($H$2:H76,H76),Specyfikacja!$A$5:$D$99,3,0),IF(H76=2,VLOOKUP(COUNTIF($H$2:H76,H76),Specyfikacja!$A$5:$K$99,10,0),""))</f>
        <v/>
      </c>
      <c r="U76" s="23" t="str">
        <f>SUBSTITUTE(SUBSTITUTE(IF(H76=1,VLOOKUP(COUNTIF($H$2:H76,H76),Specyfikacja!$A$5:$D$99,4,0),IF(H76=2,VLOOKUP(COUNTIF($H$2:H76,H76),Specyfikacja!$A$5:$K$99,11,0),"")),"Tak","YES"),"Nie","NO")</f>
        <v/>
      </c>
      <c r="W76" s="646" t="str">
        <f t="shared" ca="1" si="41"/>
        <v>=PODSTAW('ZAMÓWIENIE | WYCENA'!C41;"_";'ZAMÓWIENIE | WYCENA'!$K$13;1)</v>
      </c>
      <c r="X76" s="646">
        <f t="shared" ca="1" si="40"/>
        <v>10</v>
      </c>
      <c r="Y76" s="646">
        <f t="shared" ca="1" si="42"/>
        <v>35</v>
      </c>
      <c r="Z76" s="646" t="str">
        <f t="shared" ca="1" si="43"/>
        <v>'ZAMÓWIENIE | WYCENA'!C41</v>
      </c>
      <c r="AA76" s="647">
        <f t="shared" ca="1" si="33"/>
        <v>50.9</v>
      </c>
      <c r="AB76" s="647">
        <f t="shared" ca="1" si="33"/>
        <v>50.9</v>
      </c>
      <c r="AC76" s="647">
        <f t="shared" ca="1" si="33"/>
        <v>59.9</v>
      </c>
      <c r="AD76" s="646" t="str">
        <f t="shared" si="44"/>
        <v>3341-000-716M-WTA200</v>
      </c>
      <c r="AE76" s="648">
        <f t="shared" ca="1" si="45"/>
        <v>59.9</v>
      </c>
    </row>
    <row r="77" spans="1:31" s="7" customFormat="1" ht="12" customHeight="1">
      <c r="A77" s="23">
        <v>76</v>
      </c>
      <c r="B77" s="23" t="str">
        <f>SUBSTITUTE('ZAMÓWIENIE | WYCENA'!C42,"_",'ZAMÓWIENIE | WYCENA'!$K$13,1)</f>
        <v>3341-220-716M-WTA200</v>
      </c>
      <c r="C77" s="15">
        <f>'ZAMÓWIENIE | WYCENA'!K42</f>
        <v>0</v>
      </c>
      <c r="D77" s="14">
        <v>1</v>
      </c>
      <c r="F77" s="16"/>
      <c r="G77" s="16"/>
      <c r="H77" s="24">
        <f>IFERROR(IF(COUNTIFS($H$1:H76,H76)&gt;=VLOOKUP(H76,$A$2:$D$309,4,0),IF(H76=MAX($A$2:$A$317),"",Lista!H76+1),H76),"")</f>
        <v>76</v>
      </c>
      <c r="I77" s="22" t="str">
        <f t="shared" si="34"/>
        <v>3341-220-716M-WTA200</v>
      </c>
      <c r="J77" s="24">
        <f t="shared" si="35"/>
        <v>0</v>
      </c>
      <c r="K77" s="25">
        <f t="shared" si="17"/>
        <v>0</v>
      </c>
      <c r="L77" s="26">
        <f t="shared" si="18"/>
        <v>0</v>
      </c>
      <c r="M77" s="26">
        <f t="shared" si="36"/>
        <v>0</v>
      </c>
      <c r="N77" s="26" t="str">
        <f t="shared" si="37"/>
        <v>SHO</v>
      </c>
      <c r="O77" s="26" t="str">
        <f t="shared" si="38"/>
        <v>IPT</v>
      </c>
      <c r="P77" s="25" t="str">
        <f t="shared" ca="1" si="39"/>
        <v>ND260415_0</v>
      </c>
      <c r="Q77" s="27" t="str">
        <f t="shared" ca="1" si="19"/>
        <v>2026-04-15</v>
      </c>
      <c r="R77" s="26" t="str">
        <f t="shared" si="20"/>
        <v>PLN</v>
      </c>
      <c r="S77" s="23" t="str">
        <f>IF(H77=1,VLOOKUP(COUNTIF($H$2:H77,H77),Specyfikacja!$A$5:$D$99,2,0),IF(H77=2,VLOOKUP(COUNTIF($H$2:H77,H77),Specyfikacja!$A$5:$K$99,9,0),""))</f>
        <v/>
      </c>
      <c r="T77" s="23" t="str">
        <f>IF(H77=1,VLOOKUP(COUNTIF($H$2:H77,H77),Specyfikacja!$A$5:$D$99,3,0),IF(H77=2,VLOOKUP(COUNTIF($H$2:H77,H77),Specyfikacja!$A$5:$K$99,10,0),""))</f>
        <v/>
      </c>
      <c r="U77" s="23" t="str">
        <f>SUBSTITUTE(SUBSTITUTE(IF(H77=1,VLOOKUP(COUNTIF($H$2:H77,H77),Specyfikacja!$A$5:$D$99,4,0),IF(H77=2,VLOOKUP(COUNTIF($H$2:H77,H77),Specyfikacja!$A$5:$K$99,11,0),"")),"Tak","YES"),"Nie","NO")</f>
        <v/>
      </c>
      <c r="W77" s="646" t="str">
        <f t="shared" ca="1" si="41"/>
        <v>=PODSTAW('ZAMÓWIENIE | WYCENA'!C42;"_";'ZAMÓWIENIE | WYCENA'!$K$13;1)</v>
      </c>
      <c r="X77" s="646">
        <f t="shared" ca="1" si="40"/>
        <v>10</v>
      </c>
      <c r="Y77" s="646">
        <f t="shared" ca="1" si="42"/>
        <v>35</v>
      </c>
      <c r="Z77" s="646" t="str">
        <f t="shared" ca="1" si="43"/>
        <v>'ZAMÓWIENIE | WYCENA'!C42</v>
      </c>
      <c r="AA77" s="647">
        <f t="shared" ca="1" si="33"/>
        <v>45.5</v>
      </c>
      <c r="AB77" s="647">
        <f t="shared" ca="1" si="33"/>
        <v>45.5</v>
      </c>
      <c r="AC77" s="647">
        <f t="shared" ca="1" si="33"/>
        <v>53.5</v>
      </c>
      <c r="AD77" s="646" t="str">
        <f t="shared" si="44"/>
        <v>3341-220-716M-WTA200</v>
      </c>
      <c r="AE77" s="648">
        <f t="shared" ca="1" si="45"/>
        <v>53.5</v>
      </c>
    </row>
    <row r="78" spans="1:31" s="7" customFormat="1" ht="12" customHeight="1">
      <c r="A78" s="23">
        <v>77</v>
      </c>
      <c r="B78" s="23" t="str">
        <f>SUBSTITUTE('ZAMÓWIENIE | WYCENA'!C43,"_",'ZAMÓWIENIE | WYCENA'!$K$13,1)</f>
        <v>3331-000-716M-WTP200</v>
      </c>
      <c r="C78" s="15">
        <f>'ZAMÓWIENIE | WYCENA'!K43</f>
        <v>0</v>
      </c>
      <c r="D78" s="14">
        <v>1</v>
      </c>
      <c r="F78" s="16"/>
      <c r="G78" s="16"/>
      <c r="H78" s="24">
        <f>IFERROR(IF(COUNTIFS($H$1:H77,H77)&gt;=VLOOKUP(H77,$A$2:$D$309,4,0),IF(H77=MAX($A$2:$A$317),"",Lista!H77+1),H77),"")</f>
        <v>77</v>
      </c>
      <c r="I78" s="22" t="str">
        <f t="shared" si="34"/>
        <v>3331-000-716M-WTP200</v>
      </c>
      <c r="J78" s="24">
        <f t="shared" si="35"/>
        <v>0</v>
      </c>
      <c r="K78" s="25">
        <f t="shared" si="17"/>
        <v>0</v>
      </c>
      <c r="L78" s="26">
        <f t="shared" si="18"/>
        <v>0</v>
      </c>
      <c r="M78" s="26">
        <f t="shared" si="36"/>
        <v>0</v>
      </c>
      <c r="N78" s="26" t="str">
        <f t="shared" si="37"/>
        <v>SHO</v>
      </c>
      <c r="O78" s="26" t="str">
        <f t="shared" si="38"/>
        <v>IPT</v>
      </c>
      <c r="P78" s="25" t="str">
        <f t="shared" ca="1" si="39"/>
        <v>ND260415_0</v>
      </c>
      <c r="Q78" s="27" t="str">
        <f t="shared" ca="1" si="19"/>
        <v>2026-04-15</v>
      </c>
      <c r="R78" s="26" t="str">
        <f t="shared" si="20"/>
        <v>PLN</v>
      </c>
      <c r="S78" s="23" t="str">
        <f>IF(H78=1,VLOOKUP(COUNTIF($H$2:H78,H78),Specyfikacja!$A$5:$D$99,2,0),IF(H78=2,VLOOKUP(COUNTIF($H$2:H78,H78),Specyfikacja!$A$5:$K$99,9,0),""))</f>
        <v/>
      </c>
      <c r="T78" s="23" t="str">
        <f>IF(H78=1,VLOOKUP(COUNTIF($H$2:H78,H78),Specyfikacja!$A$5:$D$99,3,0),IF(H78=2,VLOOKUP(COUNTIF($H$2:H78,H78),Specyfikacja!$A$5:$K$99,10,0),""))</f>
        <v/>
      </c>
      <c r="U78" s="23" t="str">
        <f>SUBSTITUTE(SUBSTITUTE(IF(H78=1,VLOOKUP(COUNTIF($H$2:H78,H78),Specyfikacja!$A$5:$D$99,4,0),IF(H78=2,VLOOKUP(COUNTIF($H$2:H78,H78),Specyfikacja!$A$5:$K$99,11,0),"")),"Tak","YES"),"Nie","NO")</f>
        <v/>
      </c>
      <c r="W78" s="646" t="str">
        <f t="shared" ca="1" si="41"/>
        <v>=PODSTAW('ZAMÓWIENIE | WYCENA'!C43;"_";'ZAMÓWIENIE | WYCENA'!$K$13;1)</v>
      </c>
      <c r="X78" s="646">
        <f t="shared" ca="1" si="40"/>
        <v>10</v>
      </c>
      <c r="Y78" s="646">
        <f t="shared" ca="1" si="42"/>
        <v>35</v>
      </c>
      <c r="Z78" s="646" t="str">
        <f t="shared" ca="1" si="43"/>
        <v>'ZAMÓWIENIE | WYCENA'!C43</v>
      </c>
      <c r="AA78" s="647">
        <f t="shared" ca="1" si="33"/>
        <v>37.299999999999997</v>
      </c>
      <c r="AB78" s="647">
        <f t="shared" ca="1" si="33"/>
        <v>37.299999999999997</v>
      </c>
      <c r="AC78" s="647">
        <f t="shared" ca="1" si="33"/>
        <v>43.9</v>
      </c>
      <c r="AD78" s="646" t="str">
        <f t="shared" si="44"/>
        <v>3331-000-716M-WTP200</v>
      </c>
      <c r="AE78" s="648">
        <f t="shared" ca="1" si="45"/>
        <v>43.9</v>
      </c>
    </row>
    <row r="79" spans="1:31" s="7" customFormat="1" ht="12" customHeight="1">
      <c r="A79" s="23">
        <v>78</v>
      </c>
      <c r="B79" s="23" t="str">
        <f>SUBSTITUTE('ZAMÓWIENIE | WYCENA'!C44,"_",'ZAMÓWIENIE | WYCENA'!$K$13,1)</f>
        <v>3340-000-716M-LSP027</v>
      </c>
      <c r="C79" s="15">
        <f>'ZAMÓWIENIE | WYCENA'!K44</f>
        <v>0</v>
      </c>
      <c r="D79" s="14">
        <v>1</v>
      </c>
      <c r="F79" s="16"/>
      <c r="G79" s="16"/>
      <c r="H79" s="24">
        <f>IFERROR(IF(COUNTIFS($H$1:H78,H78)&gt;=VLOOKUP(H78,$A$2:$D$309,4,0),IF(H78=MAX($A$2:$A$317),"",Lista!H78+1),H78),"")</f>
        <v>78</v>
      </c>
      <c r="I79" s="22" t="str">
        <f t="shared" si="34"/>
        <v>3340-000-716M-LSP027</v>
      </c>
      <c r="J79" s="24">
        <f t="shared" si="35"/>
        <v>0</v>
      </c>
      <c r="K79" s="25">
        <f t="shared" si="17"/>
        <v>0</v>
      </c>
      <c r="L79" s="26">
        <f t="shared" si="18"/>
        <v>0</v>
      </c>
      <c r="M79" s="26">
        <f t="shared" si="36"/>
        <v>0</v>
      </c>
      <c r="N79" s="26" t="str">
        <f t="shared" si="37"/>
        <v>SHO</v>
      </c>
      <c r="O79" s="26" t="str">
        <f t="shared" si="38"/>
        <v>IPT</v>
      </c>
      <c r="P79" s="25" t="str">
        <f t="shared" ca="1" si="39"/>
        <v>ND260415_0</v>
      </c>
      <c r="Q79" s="27" t="str">
        <f t="shared" ca="1" si="19"/>
        <v>2026-04-15</v>
      </c>
      <c r="R79" s="26" t="str">
        <f t="shared" si="20"/>
        <v>PLN</v>
      </c>
      <c r="S79" s="23" t="str">
        <f>IF(H79=1,VLOOKUP(COUNTIF($H$2:H79,H79),Specyfikacja!$A$5:$D$99,2,0),IF(H79=2,VLOOKUP(COUNTIF($H$2:H79,H79),Specyfikacja!$A$5:$K$99,9,0),""))</f>
        <v/>
      </c>
      <c r="T79" s="23" t="str">
        <f>IF(H79=1,VLOOKUP(COUNTIF($H$2:H79,H79),Specyfikacja!$A$5:$D$99,3,0),IF(H79=2,VLOOKUP(COUNTIF($H$2:H79,H79),Specyfikacja!$A$5:$K$99,10,0),""))</f>
        <v/>
      </c>
      <c r="U79" s="23" t="str">
        <f>SUBSTITUTE(SUBSTITUTE(IF(H79=1,VLOOKUP(COUNTIF($H$2:H79,H79),Specyfikacja!$A$5:$D$99,4,0),IF(H79=2,VLOOKUP(COUNTIF($H$2:H79,H79),Specyfikacja!$A$5:$K$99,11,0),"")),"Tak","YES"),"Nie","NO")</f>
        <v/>
      </c>
      <c r="W79" s="646" t="str">
        <f t="shared" ca="1" si="41"/>
        <v>=PODSTAW('ZAMÓWIENIE | WYCENA'!C44;"_";'ZAMÓWIENIE | WYCENA'!$K$13;1)</v>
      </c>
      <c r="X79" s="646">
        <f t="shared" ca="1" si="40"/>
        <v>10</v>
      </c>
      <c r="Y79" s="646">
        <f t="shared" ca="1" si="42"/>
        <v>35</v>
      </c>
      <c r="Z79" s="646" t="str">
        <f t="shared" ca="1" si="43"/>
        <v>'ZAMÓWIENIE | WYCENA'!C44</v>
      </c>
      <c r="AA79" s="647">
        <f t="shared" ca="1" si="33"/>
        <v>12.7</v>
      </c>
      <c r="AB79" s="647">
        <f t="shared" ca="1" si="33"/>
        <v>12.7</v>
      </c>
      <c r="AC79" s="647">
        <f t="shared" ca="1" si="33"/>
        <v>14.9</v>
      </c>
      <c r="AD79" s="646" t="str">
        <f t="shared" si="44"/>
        <v>3340-000-716M-LSP027</v>
      </c>
      <c r="AE79" s="648">
        <f t="shared" ca="1" si="45"/>
        <v>14.9</v>
      </c>
    </row>
    <row r="80" spans="1:31" s="7" customFormat="1" ht="12" customHeight="1">
      <c r="A80" s="23">
        <v>79</v>
      </c>
      <c r="B80" s="23" t="str">
        <f>SUBSTITUTE('ZAMÓWIENIE | WYCENA'!C45,"_",'ZAMÓWIENIE | WYCENA'!$K$13,1)</f>
        <v>3340-000-716M-LSP048</v>
      </c>
      <c r="C80" s="15">
        <f>'ZAMÓWIENIE | WYCENA'!K45</f>
        <v>0</v>
      </c>
      <c r="D80" s="14">
        <v>1</v>
      </c>
      <c r="F80" s="16"/>
      <c r="G80" s="16"/>
      <c r="H80" s="24">
        <f>IFERROR(IF(COUNTIFS($H$1:H79,H79)&gt;=VLOOKUP(H79,$A$2:$D$309,4,0),IF(H79=MAX($A$2:$A$317),"",Lista!H79+1),H79),"")</f>
        <v>79</v>
      </c>
      <c r="I80" s="22" t="str">
        <f t="shared" si="34"/>
        <v>3340-000-716M-LSP048</v>
      </c>
      <c r="J80" s="24">
        <f t="shared" si="35"/>
        <v>0</v>
      </c>
      <c r="K80" s="25">
        <f t="shared" ref="K80:K143" si="46">IF(H80=H79,"",IF(H80="","",$F$2))</f>
        <v>0</v>
      </c>
      <c r="L80" s="26">
        <f t="shared" ref="L80:L143" si="47">IF(H80=H79,"",IF(H80="","",$F$3))</f>
        <v>0</v>
      </c>
      <c r="M80" s="26">
        <f t="shared" si="36"/>
        <v>0</v>
      </c>
      <c r="N80" s="26" t="str">
        <f t="shared" si="37"/>
        <v>SHO</v>
      </c>
      <c r="O80" s="26" t="str">
        <f t="shared" si="38"/>
        <v>IPT</v>
      </c>
      <c r="P80" s="25" t="str">
        <f t="shared" ca="1" si="39"/>
        <v>ND260415_0</v>
      </c>
      <c r="Q80" s="27" t="str">
        <f t="shared" ref="Q80:Q143" ca="1" si="48">IF(H80=H79,"",IF(H80="","",$F$8))</f>
        <v>2026-04-15</v>
      </c>
      <c r="R80" s="26" t="str">
        <f t="shared" ref="R80:R143" si="49">IF(H80=H79,"",IF(H80="","",$F$9))</f>
        <v>PLN</v>
      </c>
      <c r="S80" s="23" t="str">
        <f>IF(H80=1,VLOOKUP(COUNTIF($H$2:H80,H80),Specyfikacja!$A$5:$D$99,2,0),IF(H80=2,VLOOKUP(COUNTIF($H$2:H80,H80),Specyfikacja!$A$5:$K$99,9,0),""))</f>
        <v/>
      </c>
      <c r="T80" s="23" t="str">
        <f>IF(H80=1,VLOOKUP(COUNTIF($H$2:H80,H80),Specyfikacja!$A$5:$D$99,3,0),IF(H80=2,VLOOKUP(COUNTIF($H$2:H80,H80),Specyfikacja!$A$5:$K$99,10,0),""))</f>
        <v/>
      </c>
      <c r="U80" s="23" t="str">
        <f>SUBSTITUTE(SUBSTITUTE(IF(H80=1,VLOOKUP(COUNTIF($H$2:H80,H80),Specyfikacja!$A$5:$D$99,4,0),IF(H80=2,VLOOKUP(COUNTIF($H$2:H80,H80),Specyfikacja!$A$5:$K$99,11,0),"")),"Tak","YES"),"Nie","NO")</f>
        <v/>
      </c>
      <c r="W80" s="646" t="str">
        <f t="shared" ca="1" si="41"/>
        <v>=PODSTAW('ZAMÓWIENIE | WYCENA'!C45;"_";'ZAMÓWIENIE | WYCENA'!$K$13;1)</v>
      </c>
      <c r="X80" s="646">
        <f t="shared" ca="1" si="40"/>
        <v>10</v>
      </c>
      <c r="Y80" s="646">
        <f t="shared" ca="1" si="42"/>
        <v>35</v>
      </c>
      <c r="Z80" s="646" t="str">
        <f t="shared" ca="1" si="43"/>
        <v>'ZAMÓWIENIE | WYCENA'!C45</v>
      </c>
      <c r="AA80" s="647">
        <f t="shared" ca="1" si="33"/>
        <v>16.899999999999999</v>
      </c>
      <c r="AB80" s="647">
        <f t="shared" ca="1" si="33"/>
        <v>16.899999999999999</v>
      </c>
      <c r="AC80" s="647">
        <f t="shared" ca="1" si="33"/>
        <v>19.899999999999999</v>
      </c>
      <c r="AD80" s="646" t="str">
        <f t="shared" si="44"/>
        <v>3340-000-716M-LSP048</v>
      </c>
      <c r="AE80" s="648">
        <f t="shared" ca="1" si="45"/>
        <v>19.899999999999999</v>
      </c>
    </row>
    <row r="81" spans="1:31" s="7" customFormat="1" ht="12" customHeight="1">
      <c r="A81" s="23">
        <v>80</v>
      </c>
      <c r="B81" s="23" t="str">
        <f>SUBSTITUTE('ZAMÓWIENIE | WYCENA'!C46,"_",'ZAMÓWIENIE | WYCENA'!$K$13,1)</f>
        <v>3340-000-716M-LSP200</v>
      </c>
      <c r="C81" s="15">
        <f>'ZAMÓWIENIE | WYCENA'!K46</f>
        <v>0</v>
      </c>
      <c r="D81" s="14">
        <v>1</v>
      </c>
      <c r="F81" s="16"/>
      <c r="G81" s="16"/>
      <c r="H81" s="24">
        <f>IFERROR(IF(COUNTIFS($H$1:H80,H80)&gt;=VLOOKUP(H80,$A$2:$D$309,4,0),IF(H80=MAX($A$2:$A$317),"",Lista!H80+1),H80),"")</f>
        <v>80</v>
      </c>
      <c r="I81" s="22" t="str">
        <f t="shared" si="34"/>
        <v>3340-000-716M-LSP200</v>
      </c>
      <c r="J81" s="24">
        <f t="shared" si="35"/>
        <v>0</v>
      </c>
      <c r="K81" s="25">
        <f t="shared" si="46"/>
        <v>0</v>
      </c>
      <c r="L81" s="26">
        <f t="shared" si="47"/>
        <v>0</v>
      </c>
      <c r="M81" s="26">
        <f t="shared" si="36"/>
        <v>0</v>
      </c>
      <c r="N81" s="26" t="str">
        <f t="shared" si="37"/>
        <v>SHO</v>
      </c>
      <c r="O81" s="26" t="str">
        <f t="shared" si="38"/>
        <v>IPT</v>
      </c>
      <c r="P81" s="25" t="str">
        <f t="shared" ca="1" si="39"/>
        <v>ND260415_0</v>
      </c>
      <c r="Q81" s="27" t="str">
        <f t="shared" ca="1" si="48"/>
        <v>2026-04-15</v>
      </c>
      <c r="R81" s="26" t="str">
        <f t="shared" si="49"/>
        <v>PLN</v>
      </c>
      <c r="S81" s="23" t="str">
        <f>IF(H81=1,VLOOKUP(COUNTIF($H$2:H81,H81),Specyfikacja!$A$5:$D$99,2,0),IF(H81=2,VLOOKUP(COUNTIF($H$2:H81,H81),Specyfikacja!$A$5:$K$99,9,0),""))</f>
        <v/>
      </c>
      <c r="T81" s="23" t="str">
        <f>IF(H81=1,VLOOKUP(COUNTIF($H$2:H81,H81),Specyfikacja!$A$5:$D$99,3,0),IF(H81=2,VLOOKUP(COUNTIF($H$2:H81,H81),Specyfikacja!$A$5:$K$99,10,0),""))</f>
        <v/>
      </c>
      <c r="U81" s="23" t="str">
        <f>SUBSTITUTE(SUBSTITUTE(IF(H81=1,VLOOKUP(COUNTIF($H$2:H81,H81),Specyfikacja!$A$5:$D$99,4,0),IF(H81=2,VLOOKUP(COUNTIF($H$2:H81,H81),Specyfikacja!$A$5:$K$99,11,0),"")),"Tak","YES"),"Nie","NO")</f>
        <v/>
      </c>
      <c r="W81" s="646" t="str">
        <f t="shared" ca="1" si="41"/>
        <v>=PODSTAW('ZAMÓWIENIE | WYCENA'!C46;"_";'ZAMÓWIENIE | WYCENA'!$K$13;1)</v>
      </c>
      <c r="X81" s="646">
        <f t="shared" ca="1" si="40"/>
        <v>10</v>
      </c>
      <c r="Y81" s="646">
        <f t="shared" ca="1" si="42"/>
        <v>35</v>
      </c>
      <c r="Z81" s="646" t="str">
        <f t="shared" ca="1" si="43"/>
        <v>'ZAMÓWIENIE | WYCENA'!C46</v>
      </c>
      <c r="AA81" s="647">
        <f t="shared" ref="AA81:AC116" ca="1" si="50">INDIRECT(SUBSTITUTE($Z81,"'!C","'!"&amp;AA$3))</f>
        <v>62.8</v>
      </c>
      <c r="AB81" s="647">
        <f t="shared" ca="1" si="50"/>
        <v>62.8</v>
      </c>
      <c r="AC81" s="647">
        <f t="shared" ca="1" si="50"/>
        <v>73.900000000000006</v>
      </c>
      <c r="AD81" s="646" t="str">
        <f t="shared" si="44"/>
        <v>3340-000-716M-LSP200</v>
      </c>
      <c r="AE81" s="648">
        <f t="shared" ca="1" si="45"/>
        <v>73.900000000000006</v>
      </c>
    </row>
    <row r="82" spans="1:31" s="7" customFormat="1" ht="12" customHeight="1">
      <c r="A82" s="23">
        <v>81</v>
      </c>
      <c r="B82" s="23" t="str">
        <f>SUBSTITUTE('ZAMÓWIENIE | WYCENA'!C47,"_",'ZAMÓWIENIE | WYCENA'!$K$13,1)</f>
        <v>3340-000-716M-LSE200</v>
      </c>
      <c r="C82" s="15">
        <f>'ZAMÓWIENIE | WYCENA'!K47</f>
        <v>0</v>
      </c>
      <c r="D82" s="14">
        <v>1</v>
      </c>
      <c r="F82" s="16"/>
      <c r="G82" s="16"/>
      <c r="H82" s="24">
        <f>IFERROR(IF(COUNTIFS($H$1:H81,H81)&gt;=VLOOKUP(H81,$A$2:$D$309,4,0),IF(H81=MAX($A$2:$A$317),"",Lista!H81+1),H81),"")</f>
        <v>81</v>
      </c>
      <c r="I82" s="22" t="str">
        <f t="shared" si="34"/>
        <v>3340-000-716M-LSE200</v>
      </c>
      <c r="J82" s="24">
        <f t="shared" si="35"/>
        <v>0</v>
      </c>
      <c r="K82" s="25">
        <f t="shared" si="46"/>
        <v>0</v>
      </c>
      <c r="L82" s="26">
        <f t="shared" si="47"/>
        <v>0</v>
      </c>
      <c r="M82" s="26">
        <f t="shared" si="36"/>
        <v>0</v>
      </c>
      <c r="N82" s="26" t="str">
        <f t="shared" si="37"/>
        <v>SHO</v>
      </c>
      <c r="O82" s="26" t="str">
        <f t="shared" si="38"/>
        <v>IPT</v>
      </c>
      <c r="P82" s="25" t="str">
        <f t="shared" ca="1" si="39"/>
        <v>ND260415_0</v>
      </c>
      <c r="Q82" s="27" t="str">
        <f t="shared" ca="1" si="48"/>
        <v>2026-04-15</v>
      </c>
      <c r="R82" s="26" t="str">
        <f t="shared" si="49"/>
        <v>PLN</v>
      </c>
      <c r="S82" s="23" t="str">
        <f>IF(H82=1,VLOOKUP(COUNTIF($H$2:H82,H82),Specyfikacja!$A$5:$D$99,2,0),IF(H82=2,VLOOKUP(COUNTIF($H$2:H82,H82),Specyfikacja!$A$5:$K$99,9,0),""))</f>
        <v/>
      </c>
      <c r="T82" s="23" t="str">
        <f>IF(H82=1,VLOOKUP(COUNTIF($H$2:H82,H82),Specyfikacja!$A$5:$D$99,3,0),IF(H82=2,VLOOKUP(COUNTIF($H$2:H82,H82),Specyfikacja!$A$5:$K$99,10,0),""))</f>
        <v/>
      </c>
      <c r="U82" s="23" t="str">
        <f>SUBSTITUTE(SUBSTITUTE(IF(H82=1,VLOOKUP(COUNTIF($H$2:H82,H82),Specyfikacja!$A$5:$D$99,4,0),IF(H82=2,VLOOKUP(COUNTIF($H$2:H82,H82),Specyfikacja!$A$5:$K$99,11,0),"")),"Tak","YES"),"Nie","NO")</f>
        <v/>
      </c>
      <c r="W82" s="646" t="str">
        <f t="shared" ca="1" si="41"/>
        <v>=PODSTAW('ZAMÓWIENIE | WYCENA'!C47;"_";'ZAMÓWIENIE | WYCENA'!$K$13;1)</v>
      </c>
      <c r="X82" s="646">
        <f t="shared" ca="1" si="40"/>
        <v>10</v>
      </c>
      <c r="Y82" s="646">
        <f t="shared" ca="1" si="42"/>
        <v>35</v>
      </c>
      <c r="Z82" s="646" t="str">
        <f t="shared" ca="1" si="43"/>
        <v>'ZAMÓWIENIE | WYCENA'!C47</v>
      </c>
      <c r="AA82" s="647">
        <f t="shared" ca="1" si="50"/>
        <v>0</v>
      </c>
      <c r="AB82" s="647">
        <f t="shared" ca="1" si="50"/>
        <v>0</v>
      </c>
      <c r="AC82" s="647">
        <f t="shared" ca="1" si="50"/>
        <v>89</v>
      </c>
      <c r="AD82" s="646" t="str">
        <f t="shared" si="44"/>
        <v>3340-000-716M-LSE200</v>
      </c>
      <c r="AE82" s="648">
        <f t="shared" ca="1" si="45"/>
        <v>89</v>
      </c>
    </row>
    <row r="83" spans="1:31" s="7" customFormat="1" ht="12" customHeight="1">
      <c r="A83" s="23">
        <v>82</v>
      </c>
      <c r="B83" s="23" t="s">
        <v>778</v>
      </c>
      <c r="C83" s="16">
        <f>'ZAMÓWIENIE | WYCENA'!L32</f>
        <v>0</v>
      </c>
      <c r="D83" s="14">
        <v>1</v>
      </c>
      <c r="F83" s="16"/>
      <c r="G83" s="16"/>
      <c r="H83" s="24">
        <f>IFERROR(IF(COUNTIFS($H$1:H82,H82)&gt;=VLOOKUP(H82,$A$2:$D$309,4,0),IF(H82=MAX($A$2:$A$317),"",Lista!H82+1),H82),"")</f>
        <v>82</v>
      </c>
      <c r="I83" s="22" t="str">
        <f t="shared" si="34"/>
        <v>3330-125-905M-BPF000</v>
      </c>
      <c r="J83" s="24">
        <f t="shared" si="35"/>
        <v>0</v>
      </c>
      <c r="K83" s="25">
        <f t="shared" si="46"/>
        <v>0</v>
      </c>
      <c r="L83" s="26">
        <f t="shared" si="47"/>
        <v>0</v>
      </c>
      <c r="M83" s="26">
        <f t="shared" si="36"/>
        <v>0</v>
      </c>
      <c r="N83" s="26" t="str">
        <f t="shared" si="37"/>
        <v>SHO</v>
      </c>
      <c r="O83" s="26" t="str">
        <f t="shared" si="38"/>
        <v>IPT</v>
      </c>
      <c r="P83" s="25" t="str">
        <f t="shared" ca="1" si="39"/>
        <v>ND260415_0</v>
      </c>
      <c r="Q83" s="27" t="str">
        <f t="shared" ca="1" si="48"/>
        <v>2026-04-15</v>
      </c>
      <c r="R83" s="26" t="str">
        <f t="shared" si="49"/>
        <v>PLN</v>
      </c>
      <c r="S83" s="23" t="str">
        <f>IF(H83=1,VLOOKUP(COUNTIF($H$2:H83,H83),Specyfikacja!$A$5:$D$99,2,0),IF(H83=2,VLOOKUP(COUNTIF($H$2:H83,H83),Specyfikacja!$A$5:$K$99,9,0),""))</f>
        <v/>
      </c>
      <c r="T83" s="23" t="str">
        <f>IF(H83=1,VLOOKUP(COUNTIF($H$2:H83,H83),Specyfikacja!$A$5:$D$99,3,0),IF(H83=2,VLOOKUP(COUNTIF($H$2:H83,H83),Specyfikacja!$A$5:$K$99,10,0),""))</f>
        <v/>
      </c>
      <c r="U83" s="23" t="str">
        <f>SUBSTITUTE(SUBSTITUTE(IF(H83=1,VLOOKUP(COUNTIF($H$2:H83,H83),Specyfikacja!$A$5:$D$99,4,0),IF(H83=2,VLOOKUP(COUNTIF($H$2:H83,H83),Specyfikacja!$A$5:$K$99,11,0),"")),"Tak","YES"),"Nie","NO")</f>
        <v/>
      </c>
      <c r="W83" s="646"/>
      <c r="X83" s="646"/>
      <c r="Y83" s="646"/>
      <c r="Z83" s="646"/>
      <c r="AA83" s="647"/>
      <c r="AB83" s="647"/>
      <c r="AC83" s="647"/>
      <c r="AD83" s="646"/>
      <c r="AE83" s="648"/>
    </row>
    <row r="84" spans="1:31" s="7" customFormat="1" ht="12" customHeight="1">
      <c r="A84" s="23">
        <v>83</v>
      </c>
      <c r="B84" s="23" t="str">
        <f>SUBSTITUTE('ZAMÓWIENIE | WYCENA'!C37,"_",'ZAMÓWIENIE | WYCENA'!$L$13,1)</f>
        <v>3341-220-905M-GSR200</v>
      </c>
      <c r="C84" s="15">
        <f>'ZAMÓWIENIE | WYCENA'!L37</f>
        <v>0</v>
      </c>
      <c r="D84" s="14">
        <v>1</v>
      </c>
      <c r="F84" s="16"/>
      <c r="G84" s="16"/>
      <c r="H84" s="24">
        <f>IFERROR(IF(COUNTIFS($H$1:H83,H83)&gt;=VLOOKUP(H83,$A$2:$D$309,4,0),IF(H83=MAX($A$2:$A$317),"",Lista!H83+1),H83),"")</f>
        <v>83</v>
      </c>
      <c r="I84" s="22" t="str">
        <f t="shared" si="34"/>
        <v>3341-220-905M-GSR200</v>
      </c>
      <c r="J84" s="24">
        <f t="shared" si="35"/>
        <v>0</v>
      </c>
      <c r="K84" s="25">
        <f t="shared" si="46"/>
        <v>0</v>
      </c>
      <c r="L84" s="26">
        <f t="shared" si="47"/>
        <v>0</v>
      </c>
      <c r="M84" s="26">
        <f t="shared" si="36"/>
        <v>0</v>
      </c>
      <c r="N84" s="26" t="str">
        <f t="shared" si="37"/>
        <v>SHO</v>
      </c>
      <c r="O84" s="26" t="str">
        <f t="shared" si="38"/>
        <v>IPT</v>
      </c>
      <c r="P84" s="25" t="str">
        <f t="shared" ca="1" si="39"/>
        <v>ND260415_0</v>
      </c>
      <c r="Q84" s="27" t="str">
        <f t="shared" ca="1" si="48"/>
        <v>2026-04-15</v>
      </c>
      <c r="R84" s="26" t="str">
        <f t="shared" si="49"/>
        <v>PLN</v>
      </c>
      <c r="S84" s="23" t="str">
        <f>IF(H84=1,VLOOKUP(COUNTIF($H$2:H84,H84),Specyfikacja!$A$5:$D$99,2,0),IF(H84=2,VLOOKUP(COUNTIF($H$2:H84,H84),Specyfikacja!$A$5:$K$99,9,0),""))</f>
        <v/>
      </c>
      <c r="T84" s="23" t="str">
        <f>IF(H84=1,VLOOKUP(COUNTIF($H$2:H84,H84),Specyfikacja!$A$5:$D$99,3,0),IF(H84=2,VLOOKUP(COUNTIF($H$2:H84,H84),Specyfikacja!$A$5:$K$99,10,0),""))</f>
        <v/>
      </c>
      <c r="U84" s="23" t="str">
        <f>SUBSTITUTE(SUBSTITUTE(IF(H84=1,VLOOKUP(COUNTIF($H$2:H84,H84),Specyfikacja!$A$5:$D$99,4,0),IF(H84=2,VLOOKUP(COUNTIF($H$2:H84,H84),Specyfikacja!$A$5:$K$99,11,0),"")),"Tak","YES"),"Nie","NO")</f>
        <v/>
      </c>
      <c r="W84" s="646" t="str">
        <f t="shared" ca="1" si="41"/>
        <v>=PODSTAW('ZAMÓWIENIE | WYCENA'!C37;"_";'ZAMÓWIENIE | WYCENA'!$L$13;1)</v>
      </c>
      <c r="X84" s="646">
        <f t="shared" ca="1" si="40"/>
        <v>10</v>
      </c>
      <c r="Y84" s="646">
        <f t="shared" ca="1" si="42"/>
        <v>35</v>
      </c>
      <c r="Z84" s="646" t="str">
        <f t="shared" ca="1" si="43"/>
        <v>'ZAMÓWIENIE | WYCENA'!C37</v>
      </c>
      <c r="AA84" s="647">
        <f t="shared" ca="1" si="50"/>
        <v>59</v>
      </c>
      <c r="AB84" s="647">
        <f t="shared" ca="1" si="50"/>
        <v>59</v>
      </c>
      <c r="AC84" s="647">
        <f t="shared" ca="1" si="50"/>
        <v>69.400000000000006</v>
      </c>
      <c r="AD84" s="646" t="str">
        <f t="shared" si="44"/>
        <v>3341-220-905M-GSR200</v>
      </c>
      <c r="AE84" s="648">
        <f t="shared" ca="1" si="45"/>
        <v>69.400000000000006</v>
      </c>
    </row>
    <row r="85" spans="1:31" s="7" customFormat="1" ht="12" customHeight="1">
      <c r="A85" s="23">
        <v>84</v>
      </c>
      <c r="B85" s="23" t="str">
        <f>SUBSTITUTE('ZAMÓWIENIE | WYCENA'!C38,"_",'ZAMÓWIENIE | WYCENA'!$L$13,1)</f>
        <v>3341-293-905M-GSR200</v>
      </c>
      <c r="C85" s="15">
        <f>'ZAMÓWIENIE | WYCENA'!L38</f>
        <v>0</v>
      </c>
      <c r="D85" s="14">
        <v>1</v>
      </c>
      <c r="F85" s="16"/>
      <c r="G85" s="16"/>
      <c r="H85" s="24">
        <f>IFERROR(IF(COUNTIFS($H$1:H84,H84)&gt;=VLOOKUP(H84,$A$2:$D$309,4,0),IF(H84=MAX($A$2:$A$317),"",Lista!H84+1),H84),"")</f>
        <v>84</v>
      </c>
      <c r="I85" s="22" t="str">
        <f t="shared" si="34"/>
        <v>3341-293-905M-GSR200</v>
      </c>
      <c r="J85" s="24">
        <f t="shared" si="35"/>
        <v>0</v>
      </c>
      <c r="K85" s="25">
        <f t="shared" si="46"/>
        <v>0</v>
      </c>
      <c r="L85" s="26">
        <f t="shared" si="47"/>
        <v>0</v>
      </c>
      <c r="M85" s="26">
        <f t="shared" si="36"/>
        <v>0</v>
      </c>
      <c r="N85" s="26" t="str">
        <f t="shared" si="37"/>
        <v>SHO</v>
      </c>
      <c r="O85" s="26" t="str">
        <f t="shared" si="38"/>
        <v>IPT</v>
      </c>
      <c r="P85" s="25" t="str">
        <f t="shared" ca="1" si="39"/>
        <v>ND260415_0</v>
      </c>
      <c r="Q85" s="27" t="str">
        <f t="shared" ca="1" si="48"/>
        <v>2026-04-15</v>
      </c>
      <c r="R85" s="26" t="str">
        <f t="shared" si="49"/>
        <v>PLN</v>
      </c>
      <c r="S85" s="23" t="str">
        <f>IF(H85=1,VLOOKUP(COUNTIF($H$2:H85,H85),Specyfikacja!$A$5:$D$99,2,0),IF(H85=2,VLOOKUP(COUNTIF($H$2:H85,H85),Specyfikacja!$A$5:$K$99,9,0),""))</f>
        <v/>
      </c>
      <c r="T85" s="23" t="str">
        <f>IF(H85=1,VLOOKUP(COUNTIF($H$2:H85,H85),Specyfikacja!$A$5:$D$99,3,0),IF(H85=2,VLOOKUP(COUNTIF($H$2:H85,H85),Specyfikacja!$A$5:$K$99,10,0),""))</f>
        <v/>
      </c>
      <c r="U85" s="23" t="str">
        <f>SUBSTITUTE(SUBSTITUTE(IF(H85=1,VLOOKUP(COUNTIF($H$2:H85,H85),Specyfikacja!$A$5:$D$99,4,0),IF(H85=2,VLOOKUP(COUNTIF($H$2:H85,H85),Specyfikacja!$A$5:$K$99,11,0),"")),"Tak","YES"),"Nie","NO")</f>
        <v/>
      </c>
      <c r="W85" s="646" t="str">
        <f t="shared" ca="1" si="41"/>
        <v>=PODSTAW('ZAMÓWIENIE | WYCENA'!C38;"_";'ZAMÓWIENIE | WYCENA'!$L$13;1)</v>
      </c>
      <c r="X85" s="646">
        <f t="shared" ca="1" si="40"/>
        <v>10</v>
      </c>
      <c r="Y85" s="646">
        <f t="shared" ca="1" si="42"/>
        <v>35</v>
      </c>
      <c r="Z85" s="646" t="str">
        <f t="shared" ca="1" si="43"/>
        <v>'ZAMÓWIENIE | WYCENA'!C38</v>
      </c>
      <c r="AA85" s="647">
        <f t="shared" ca="1" si="50"/>
        <v>62.2</v>
      </c>
      <c r="AB85" s="647">
        <f t="shared" ca="1" si="50"/>
        <v>62.2</v>
      </c>
      <c r="AC85" s="647">
        <f t="shared" ca="1" si="50"/>
        <v>73.2</v>
      </c>
      <c r="AD85" s="646" t="str">
        <f t="shared" si="44"/>
        <v>3341-293-905M-GSR200</v>
      </c>
      <c r="AE85" s="648">
        <f t="shared" ca="1" si="45"/>
        <v>73.2</v>
      </c>
    </row>
    <row r="86" spans="1:31" s="7" customFormat="1" ht="12" customHeight="1">
      <c r="A86" s="23">
        <v>85</v>
      </c>
      <c r="B86" s="23" t="str">
        <f>SUBSTITUTE('ZAMÓWIENIE | WYCENA'!C39,"_",'ZAMÓWIENIE | WYCENA'!$L$13,1)</f>
        <v>3341-000-905M-PSN200</v>
      </c>
      <c r="C86" s="15">
        <f>'ZAMÓWIENIE | WYCENA'!L39</f>
        <v>0</v>
      </c>
      <c r="D86" s="14">
        <v>1</v>
      </c>
      <c r="F86" s="16"/>
      <c r="G86" s="16"/>
      <c r="H86" s="24">
        <f>IFERROR(IF(COUNTIFS($H$1:H85,H85)&gt;=VLOOKUP(H85,$A$2:$D$309,4,0),IF(H85=MAX($A$2:$A$317),"",Lista!H85+1),H85),"")</f>
        <v>85</v>
      </c>
      <c r="I86" s="22" t="str">
        <f t="shared" si="34"/>
        <v>3341-000-905M-PSN200</v>
      </c>
      <c r="J86" s="24">
        <f t="shared" si="35"/>
        <v>0</v>
      </c>
      <c r="K86" s="25">
        <f t="shared" si="46"/>
        <v>0</v>
      </c>
      <c r="L86" s="26">
        <f t="shared" si="47"/>
        <v>0</v>
      </c>
      <c r="M86" s="26">
        <f t="shared" si="36"/>
        <v>0</v>
      </c>
      <c r="N86" s="26" t="str">
        <f t="shared" si="37"/>
        <v>SHO</v>
      </c>
      <c r="O86" s="26" t="str">
        <f t="shared" si="38"/>
        <v>IPT</v>
      </c>
      <c r="P86" s="25" t="str">
        <f t="shared" ca="1" si="39"/>
        <v>ND260415_0</v>
      </c>
      <c r="Q86" s="27" t="str">
        <f t="shared" ca="1" si="48"/>
        <v>2026-04-15</v>
      </c>
      <c r="R86" s="26" t="str">
        <f t="shared" si="49"/>
        <v>PLN</v>
      </c>
      <c r="S86" s="23" t="str">
        <f>IF(H86=1,VLOOKUP(COUNTIF($H$2:H86,H86),Specyfikacja!$A$5:$D$99,2,0),IF(H86=2,VLOOKUP(COUNTIF($H$2:H86,H86),Specyfikacja!$A$5:$K$99,9,0),""))</f>
        <v/>
      </c>
      <c r="T86" s="23" t="str">
        <f>IF(H86=1,VLOOKUP(COUNTIF($H$2:H86,H86),Specyfikacja!$A$5:$D$99,3,0),IF(H86=2,VLOOKUP(COUNTIF($H$2:H86,H86),Specyfikacja!$A$5:$K$99,10,0),""))</f>
        <v/>
      </c>
      <c r="U86" s="23" t="str">
        <f>SUBSTITUTE(SUBSTITUTE(IF(H86=1,VLOOKUP(COUNTIF($H$2:H86,H86),Specyfikacja!$A$5:$D$99,4,0),IF(H86=2,VLOOKUP(COUNTIF($H$2:H86,H86),Specyfikacja!$A$5:$K$99,11,0),"")),"Tak","YES"),"Nie","NO")</f>
        <v/>
      </c>
      <c r="W86" s="646" t="str">
        <f t="shared" ca="1" si="41"/>
        <v>=PODSTAW('ZAMÓWIENIE | WYCENA'!C39;"_";'ZAMÓWIENIE | WYCENA'!$L$13;1)</v>
      </c>
      <c r="X86" s="646">
        <f t="shared" ca="1" si="40"/>
        <v>10</v>
      </c>
      <c r="Y86" s="646">
        <f t="shared" ca="1" si="42"/>
        <v>35</v>
      </c>
      <c r="Z86" s="646" t="str">
        <f t="shared" ca="1" si="43"/>
        <v>'ZAMÓWIENIE | WYCENA'!C39</v>
      </c>
      <c r="AA86" s="647">
        <f t="shared" ca="1" si="50"/>
        <v>54.3</v>
      </c>
      <c r="AB86" s="647">
        <f t="shared" ca="1" si="50"/>
        <v>54.3</v>
      </c>
      <c r="AC86" s="647">
        <f t="shared" ca="1" si="50"/>
        <v>63.9</v>
      </c>
      <c r="AD86" s="646" t="str">
        <f t="shared" si="44"/>
        <v>3341-000-905M-PSN200</v>
      </c>
      <c r="AE86" s="648">
        <f t="shared" ca="1" si="45"/>
        <v>63.9</v>
      </c>
    </row>
    <row r="87" spans="1:31" s="7" customFormat="1" ht="12" customHeight="1">
      <c r="A87" s="23">
        <v>86</v>
      </c>
      <c r="B87" s="23" t="str">
        <f>SUBSTITUTE('ZAMÓWIENIE | WYCENA'!C40,"_",'ZAMÓWIENIE | WYCENA'!$L$13,1)</f>
        <v>3341-000-905M-PSW200</v>
      </c>
      <c r="C87" s="15">
        <f>'ZAMÓWIENIE | WYCENA'!L40</f>
        <v>0</v>
      </c>
      <c r="D87" s="14">
        <v>1</v>
      </c>
      <c r="F87" s="16"/>
      <c r="G87" s="16"/>
      <c r="H87" s="24">
        <f>IFERROR(IF(COUNTIFS($H$1:H86,H86)&gt;=VLOOKUP(H86,$A$2:$D$309,4,0),IF(H86=MAX($A$2:$A$317),"",Lista!H86+1),H86),"")</f>
        <v>86</v>
      </c>
      <c r="I87" s="22" t="str">
        <f t="shared" si="34"/>
        <v>3341-000-905M-PSW200</v>
      </c>
      <c r="J87" s="24">
        <f t="shared" si="35"/>
        <v>0</v>
      </c>
      <c r="K87" s="25">
        <f t="shared" si="46"/>
        <v>0</v>
      </c>
      <c r="L87" s="26">
        <f t="shared" si="47"/>
        <v>0</v>
      </c>
      <c r="M87" s="26">
        <f t="shared" si="36"/>
        <v>0</v>
      </c>
      <c r="N87" s="26" t="str">
        <f t="shared" si="37"/>
        <v>SHO</v>
      </c>
      <c r="O87" s="26" t="str">
        <f t="shared" si="38"/>
        <v>IPT</v>
      </c>
      <c r="P87" s="25" t="str">
        <f t="shared" ca="1" si="39"/>
        <v>ND260415_0</v>
      </c>
      <c r="Q87" s="27" t="str">
        <f t="shared" ca="1" si="48"/>
        <v>2026-04-15</v>
      </c>
      <c r="R87" s="26" t="str">
        <f t="shared" si="49"/>
        <v>PLN</v>
      </c>
      <c r="S87" s="23" t="str">
        <f>IF(H87=1,VLOOKUP(COUNTIF($H$2:H87,H87),Specyfikacja!$A$5:$D$99,2,0),IF(H87=2,VLOOKUP(COUNTIF($H$2:H87,H87),Specyfikacja!$A$5:$K$99,9,0),""))</f>
        <v/>
      </c>
      <c r="T87" s="23" t="str">
        <f>IF(H87=1,VLOOKUP(COUNTIF($H$2:H87,H87),Specyfikacja!$A$5:$D$99,3,0),IF(H87=2,VLOOKUP(COUNTIF($H$2:H87,H87),Specyfikacja!$A$5:$K$99,10,0),""))</f>
        <v/>
      </c>
      <c r="U87" s="23" t="str">
        <f>SUBSTITUTE(SUBSTITUTE(IF(H87=1,VLOOKUP(COUNTIF($H$2:H87,H87),Specyfikacja!$A$5:$D$99,4,0),IF(H87=2,VLOOKUP(COUNTIF($H$2:H87,H87),Specyfikacja!$A$5:$K$99,11,0),"")),"Tak","YES"),"Nie","NO")</f>
        <v/>
      </c>
      <c r="W87" s="646" t="str">
        <f t="shared" ca="1" si="41"/>
        <v>=PODSTAW('ZAMÓWIENIE | WYCENA'!C40;"_";'ZAMÓWIENIE | WYCENA'!$L$13;1)</v>
      </c>
      <c r="X87" s="646">
        <f t="shared" ca="1" si="40"/>
        <v>10</v>
      </c>
      <c r="Y87" s="646">
        <f t="shared" ca="1" si="42"/>
        <v>35</v>
      </c>
      <c r="Z87" s="646" t="str">
        <f t="shared" ca="1" si="43"/>
        <v>'ZAMÓWIENIE | WYCENA'!C40</v>
      </c>
      <c r="AA87" s="647">
        <f t="shared" ca="1" si="50"/>
        <v>89.2</v>
      </c>
      <c r="AB87" s="647">
        <f t="shared" ca="1" si="50"/>
        <v>89.2</v>
      </c>
      <c r="AC87" s="647">
        <f t="shared" ca="1" si="50"/>
        <v>104.9</v>
      </c>
      <c r="AD87" s="646" t="str">
        <f t="shared" si="44"/>
        <v>3341-000-905M-PSW200</v>
      </c>
      <c r="AE87" s="648">
        <f t="shared" ca="1" si="45"/>
        <v>104.9</v>
      </c>
    </row>
    <row r="88" spans="1:31" s="7" customFormat="1" ht="12" customHeight="1">
      <c r="A88" s="23">
        <v>87</v>
      </c>
      <c r="B88" s="23" t="str">
        <f>SUBSTITUTE('ZAMÓWIENIE | WYCENA'!C41,"_",'ZAMÓWIENIE | WYCENA'!$L$13,1)</f>
        <v>3341-000-905M-WTA200</v>
      </c>
      <c r="C88" s="15">
        <f>'ZAMÓWIENIE | WYCENA'!L41</f>
        <v>0</v>
      </c>
      <c r="D88" s="14">
        <v>1</v>
      </c>
      <c r="F88" s="16"/>
      <c r="G88" s="16"/>
      <c r="H88" s="24">
        <f>IFERROR(IF(COUNTIFS($H$1:H87,H87)&gt;=VLOOKUP(H87,$A$2:$D$309,4,0),IF(H87=MAX($A$2:$A$317),"",Lista!H87+1),H87),"")</f>
        <v>87</v>
      </c>
      <c r="I88" s="22" t="str">
        <f t="shared" si="34"/>
        <v>3341-000-905M-WTA200</v>
      </c>
      <c r="J88" s="24">
        <f t="shared" si="35"/>
        <v>0</v>
      </c>
      <c r="K88" s="25">
        <f t="shared" si="46"/>
        <v>0</v>
      </c>
      <c r="L88" s="26">
        <f t="shared" si="47"/>
        <v>0</v>
      </c>
      <c r="M88" s="26">
        <f t="shared" si="36"/>
        <v>0</v>
      </c>
      <c r="N88" s="26" t="str">
        <f t="shared" si="37"/>
        <v>SHO</v>
      </c>
      <c r="O88" s="26" t="str">
        <f t="shared" si="38"/>
        <v>IPT</v>
      </c>
      <c r="P88" s="25" t="str">
        <f t="shared" ca="1" si="39"/>
        <v>ND260415_0</v>
      </c>
      <c r="Q88" s="27" t="str">
        <f t="shared" ca="1" si="48"/>
        <v>2026-04-15</v>
      </c>
      <c r="R88" s="26" t="str">
        <f t="shared" si="49"/>
        <v>PLN</v>
      </c>
      <c r="S88" s="23" t="str">
        <f>IF(H88=1,VLOOKUP(COUNTIF($H$2:H88,H88),Specyfikacja!$A$5:$D$99,2,0),IF(H88=2,VLOOKUP(COUNTIF($H$2:H88,H88),Specyfikacja!$A$5:$K$99,9,0),""))</f>
        <v/>
      </c>
      <c r="T88" s="23" t="str">
        <f>IF(H88=1,VLOOKUP(COUNTIF($H$2:H88,H88),Specyfikacja!$A$5:$D$99,3,0),IF(H88=2,VLOOKUP(COUNTIF($H$2:H88,H88),Specyfikacja!$A$5:$K$99,10,0),""))</f>
        <v/>
      </c>
      <c r="U88" s="23" t="str">
        <f>SUBSTITUTE(SUBSTITUTE(IF(H88=1,VLOOKUP(COUNTIF($H$2:H88,H88),Specyfikacja!$A$5:$D$99,4,0),IF(H88=2,VLOOKUP(COUNTIF($H$2:H88,H88),Specyfikacja!$A$5:$K$99,11,0),"")),"Tak","YES"),"Nie","NO")</f>
        <v/>
      </c>
      <c r="W88" s="646" t="str">
        <f t="shared" ca="1" si="41"/>
        <v>=PODSTAW('ZAMÓWIENIE | WYCENA'!C41;"_";'ZAMÓWIENIE | WYCENA'!$L$13;1)</v>
      </c>
      <c r="X88" s="646">
        <f t="shared" ca="1" si="40"/>
        <v>10</v>
      </c>
      <c r="Y88" s="646">
        <f t="shared" ca="1" si="42"/>
        <v>35</v>
      </c>
      <c r="Z88" s="646" t="str">
        <f t="shared" ca="1" si="43"/>
        <v>'ZAMÓWIENIE | WYCENA'!C41</v>
      </c>
      <c r="AA88" s="647">
        <f t="shared" ca="1" si="50"/>
        <v>50.9</v>
      </c>
      <c r="AB88" s="647">
        <f t="shared" ca="1" si="50"/>
        <v>50.9</v>
      </c>
      <c r="AC88" s="647">
        <f t="shared" ca="1" si="50"/>
        <v>59.9</v>
      </c>
      <c r="AD88" s="646" t="str">
        <f t="shared" si="44"/>
        <v>3341-000-905M-WTA200</v>
      </c>
      <c r="AE88" s="648">
        <f t="shared" ca="1" si="45"/>
        <v>59.9</v>
      </c>
    </row>
    <row r="89" spans="1:31" s="7" customFormat="1" ht="12" customHeight="1">
      <c r="A89" s="23">
        <v>88</v>
      </c>
      <c r="B89" s="23" t="str">
        <f>SUBSTITUTE('ZAMÓWIENIE | WYCENA'!C42,"_",'ZAMÓWIENIE | WYCENA'!$L$13,1)</f>
        <v>3341-220-905M-WTA200</v>
      </c>
      <c r="C89" s="15">
        <f>'ZAMÓWIENIE | WYCENA'!L42</f>
        <v>0</v>
      </c>
      <c r="D89" s="14">
        <v>1</v>
      </c>
      <c r="F89" s="16"/>
      <c r="G89" s="16"/>
      <c r="H89" s="24">
        <f>IFERROR(IF(COUNTIFS($H$1:H88,H88)&gt;=VLOOKUP(H88,$A$2:$D$309,4,0),IF(H88=MAX($A$2:$A$317),"",Lista!H88+1),H88),"")</f>
        <v>88</v>
      </c>
      <c r="I89" s="22" t="str">
        <f t="shared" si="34"/>
        <v>3341-220-905M-WTA200</v>
      </c>
      <c r="J89" s="24">
        <f t="shared" si="35"/>
        <v>0</v>
      </c>
      <c r="K89" s="25">
        <f t="shared" si="46"/>
        <v>0</v>
      </c>
      <c r="L89" s="26">
        <f t="shared" si="47"/>
        <v>0</v>
      </c>
      <c r="M89" s="26">
        <f t="shared" si="36"/>
        <v>0</v>
      </c>
      <c r="N89" s="26" t="str">
        <f t="shared" si="37"/>
        <v>SHO</v>
      </c>
      <c r="O89" s="26" t="str">
        <f t="shared" si="38"/>
        <v>IPT</v>
      </c>
      <c r="P89" s="25" t="str">
        <f t="shared" ca="1" si="39"/>
        <v>ND260415_0</v>
      </c>
      <c r="Q89" s="27" t="str">
        <f t="shared" ca="1" si="48"/>
        <v>2026-04-15</v>
      </c>
      <c r="R89" s="26" t="str">
        <f t="shared" si="49"/>
        <v>PLN</v>
      </c>
      <c r="S89" s="23" t="str">
        <f>IF(H89=1,VLOOKUP(COUNTIF($H$2:H89,H89),Specyfikacja!$A$5:$D$99,2,0),IF(H89=2,VLOOKUP(COUNTIF($H$2:H89,H89),Specyfikacja!$A$5:$K$99,9,0),""))</f>
        <v/>
      </c>
      <c r="T89" s="23" t="str">
        <f>IF(H89=1,VLOOKUP(COUNTIF($H$2:H89,H89),Specyfikacja!$A$5:$D$99,3,0),IF(H89=2,VLOOKUP(COUNTIF($H$2:H89,H89),Specyfikacja!$A$5:$K$99,10,0),""))</f>
        <v/>
      </c>
      <c r="U89" s="23" t="str">
        <f>SUBSTITUTE(SUBSTITUTE(IF(H89=1,VLOOKUP(COUNTIF($H$2:H89,H89),Specyfikacja!$A$5:$D$99,4,0),IF(H89=2,VLOOKUP(COUNTIF($H$2:H89,H89),Specyfikacja!$A$5:$K$99,11,0),"")),"Tak","YES"),"Nie","NO")</f>
        <v/>
      </c>
      <c r="W89" s="646" t="str">
        <f t="shared" ca="1" si="41"/>
        <v>=PODSTAW('ZAMÓWIENIE | WYCENA'!C42;"_";'ZAMÓWIENIE | WYCENA'!$L$13;1)</v>
      </c>
      <c r="X89" s="646">
        <f t="shared" ca="1" si="40"/>
        <v>10</v>
      </c>
      <c r="Y89" s="646">
        <f t="shared" ca="1" si="42"/>
        <v>35</v>
      </c>
      <c r="Z89" s="646" t="str">
        <f t="shared" ca="1" si="43"/>
        <v>'ZAMÓWIENIE | WYCENA'!C42</v>
      </c>
      <c r="AA89" s="647">
        <f t="shared" ca="1" si="50"/>
        <v>45.5</v>
      </c>
      <c r="AB89" s="647">
        <f t="shared" ca="1" si="50"/>
        <v>45.5</v>
      </c>
      <c r="AC89" s="647">
        <f t="shared" ca="1" si="50"/>
        <v>53.5</v>
      </c>
      <c r="AD89" s="646" t="str">
        <f t="shared" si="44"/>
        <v>3341-220-905M-WTA200</v>
      </c>
      <c r="AE89" s="648">
        <f t="shared" ca="1" si="45"/>
        <v>53.5</v>
      </c>
    </row>
    <row r="90" spans="1:31" s="7" customFormat="1" ht="12" customHeight="1">
      <c r="A90" s="23">
        <v>89</v>
      </c>
      <c r="B90" s="23" t="str">
        <f>SUBSTITUTE('ZAMÓWIENIE | WYCENA'!C43,"_",'ZAMÓWIENIE | WYCENA'!$L$13,1)</f>
        <v>3331-000-905M-WTP200</v>
      </c>
      <c r="C90" s="15">
        <f>'ZAMÓWIENIE | WYCENA'!L43</f>
        <v>0</v>
      </c>
      <c r="D90" s="14">
        <v>1</v>
      </c>
      <c r="F90" s="16"/>
      <c r="G90" s="16"/>
      <c r="H90" s="24">
        <f>IFERROR(IF(COUNTIFS($H$1:H89,H89)&gt;=VLOOKUP(H89,$A$2:$D$309,4,0),IF(H89=MAX($A$2:$A$317),"",Lista!H89+1),H89),"")</f>
        <v>89</v>
      </c>
      <c r="I90" s="22" t="str">
        <f t="shared" si="34"/>
        <v>3331-000-905M-WTP200</v>
      </c>
      <c r="J90" s="24">
        <f t="shared" si="35"/>
        <v>0</v>
      </c>
      <c r="K90" s="25">
        <f t="shared" si="46"/>
        <v>0</v>
      </c>
      <c r="L90" s="26">
        <f t="shared" si="47"/>
        <v>0</v>
      </c>
      <c r="M90" s="26">
        <f t="shared" si="36"/>
        <v>0</v>
      </c>
      <c r="N90" s="26" t="str">
        <f t="shared" si="37"/>
        <v>SHO</v>
      </c>
      <c r="O90" s="26" t="str">
        <f t="shared" si="38"/>
        <v>IPT</v>
      </c>
      <c r="P90" s="25" t="str">
        <f t="shared" ca="1" si="39"/>
        <v>ND260415_0</v>
      </c>
      <c r="Q90" s="27" t="str">
        <f t="shared" ca="1" si="48"/>
        <v>2026-04-15</v>
      </c>
      <c r="R90" s="26" t="str">
        <f t="shared" si="49"/>
        <v>PLN</v>
      </c>
      <c r="S90" s="23" t="str">
        <f>IF(H90=1,VLOOKUP(COUNTIF($H$2:H90,H90),Specyfikacja!$A$5:$D$99,2,0),IF(H90=2,VLOOKUP(COUNTIF($H$2:H90,H90),Specyfikacja!$A$5:$K$99,9,0),""))</f>
        <v/>
      </c>
      <c r="T90" s="23" t="str">
        <f>IF(H90=1,VLOOKUP(COUNTIF($H$2:H90,H90),Specyfikacja!$A$5:$D$99,3,0),IF(H90=2,VLOOKUP(COUNTIF($H$2:H90,H90),Specyfikacja!$A$5:$K$99,10,0),""))</f>
        <v/>
      </c>
      <c r="U90" s="23" t="str">
        <f>SUBSTITUTE(SUBSTITUTE(IF(H90=1,VLOOKUP(COUNTIF($H$2:H90,H90),Specyfikacja!$A$5:$D$99,4,0),IF(H90=2,VLOOKUP(COUNTIF($H$2:H90,H90),Specyfikacja!$A$5:$K$99,11,0),"")),"Tak","YES"),"Nie","NO")</f>
        <v/>
      </c>
      <c r="W90" s="646" t="str">
        <f t="shared" ca="1" si="41"/>
        <v>=PODSTAW('ZAMÓWIENIE | WYCENA'!C43;"_";'ZAMÓWIENIE | WYCENA'!$L$13;1)</v>
      </c>
      <c r="X90" s="646">
        <f t="shared" ca="1" si="40"/>
        <v>10</v>
      </c>
      <c r="Y90" s="646">
        <f t="shared" ca="1" si="42"/>
        <v>35</v>
      </c>
      <c r="Z90" s="646" t="str">
        <f t="shared" ca="1" si="43"/>
        <v>'ZAMÓWIENIE | WYCENA'!C43</v>
      </c>
      <c r="AA90" s="647">
        <f t="shared" ca="1" si="50"/>
        <v>37.299999999999997</v>
      </c>
      <c r="AB90" s="647">
        <f t="shared" ca="1" si="50"/>
        <v>37.299999999999997</v>
      </c>
      <c r="AC90" s="647">
        <f t="shared" ca="1" si="50"/>
        <v>43.9</v>
      </c>
      <c r="AD90" s="646" t="str">
        <f t="shared" si="44"/>
        <v>3331-000-905M-WTP200</v>
      </c>
      <c r="AE90" s="648">
        <f t="shared" ca="1" si="45"/>
        <v>43.9</v>
      </c>
    </row>
    <row r="91" spans="1:31" s="7" customFormat="1" ht="12" customHeight="1">
      <c r="A91" s="23">
        <v>90</v>
      </c>
      <c r="B91" s="23" t="str">
        <f>SUBSTITUTE('ZAMÓWIENIE | WYCENA'!C44,"_",'ZAMÓWIENIE | WYCENA'!$L$13,1)</f>
        <v>3340-000-905M-LSP027</v>
      </c>
      <c r="C91" s="15">
        <f>'ZAMÓWIENIE | WYCENA'!L44</f>
        <v>0</v>
      </c>
      <c r="D91" s="14">
        <v>1</v>
      </c>
      <c r="F91" s="16"/>
      <c r="G91" s="16"/>
      <c r="H91" s="24">
        <f>IFERROR(IF(COUNTIFS($H$1:H90,H90)&gt;=VLOOKUP(H90,$A$2:$D$309,4,0),IF(H90=MAX($A$2:$A$317),"",Lista!H90+1),H90),"")</f>
        <v>90</v>
      </c>
      <c r="I91" s="22" t="str">
        <f t="shared" si="34"/>
        <v>3340-000-905M-LSP027</v>
      </c>
      <c r="J91" s="24">
        <f t="shared" si="35"/>
        <v>0</v>
      </c>
      <c r="K91" s="25">
        <f t="shared" si="46"/>
        <v>0</v>
      </c>
      <c r="L91" s="26">
        <f t="shared" si="47"/>
        <v>0</v>
      </c>
      <c r="M91" s="26">
        <f t="shared" si="36"/>
        <v>0</v>
      </c>
      <c r="N91" s="26" t="str">
        <f t="shared" si="37"/>
        <v>SHO</v>
      </c>
      <c r="O91" s="26" t="str">
        <f t="shared" si="38"/>
        <v>IPT</v>
      </c>
      <c r="P91" s="25" t="str">
        <f t="shared" ca="1" si="39"/>
        <v>ND260415_0</v>
      </c>
      <c r="Q91" s="27" t="str">
        <f t="shared" ca="1" si="48"/>
        <v>2026-04-15</v>
      </c>
      <c r="R91" s="26" t="str">
        <f t="shared" si="49"/>
        <v>PLN</v>
      </c>
      <c r="S91" s="23" t="str">
        <f>IF(H91=1,VLOOKUP(COUNTIF($H$2:H91,H91),Specyfikacja!$A$5:$D$99,2,0),IF(H91=2,VLOOKUP(COUNTIF($H$2:H91,H91),Specyfikacja!$A$5:$K$99,9,0),""))</f>
        <v/>
      </c>
      <c r="T91" s="23" t="str">
        <f>IF(H91=1,VLOOKUP(COUNTIF($H$2:H91,H91),Specyfikacja!$A$5:$D$99,3,0),IF(H91=2,VLOOKUP(COUNTIF($H$2:H91,H91),Specyfikacja!$A$5:$K$99,10,0),""))</f>
        <v/>
      </c>
      <c r="U91" s="23" t="str">
        <f>SUBSTITUTE(SUBSTITUTE(IF(H91=1,VLOOKUP(COUNTIF($H$2:H91,H91),Specyfikacja!$A$5:$D$99,4,0),IF(H91=2,VLOOKUP(COUNTIF($H$2:H91,H91),Specyfikacja!$A$5:$K$99,11,0),"")),"Tak","YES"),"Nie","NO")</f>
        <v/>
      </c>
      <c r="W91" s="646" t="str">
        <f t="shared" ca="1" si="41"/>
        <v>=PODSTAW('ZAMÓWIENIE | WYCENA'!C44;"_";'ZAMÓWIENIE | WYCENA'!$L$13;1)</v>
      </c>
      <c r="X91" s="646">
        <f t="shared" ca="1" si="40"/>
        <v>10</v>
      </c>
      <c r="Y91" s="646">
        <f t="shared" ca="1" si="42"/>
        <v>35</v>
      </c>
      <c r="Z91" s="646" t="str">
        <f t="shared" ca="1" si="43"/>
        <v>'ZAMÓWIENIE | WYCENA'!C44</v>
      </c>
      <c r="AA91" s="647">
        <f t="shared" ca="1" si="50"/>
        <v>12.7</v>
      </c>
      <c r="AB91" s="647">
        <f t="shared" ca="1" si="50"/>
        <v>12.7</v>
      </c>
      <c r="AC91" s="647">
        <f t="shared" ca="1" si="50"/>
        <v>14.9</v>
      </c>
      <c r="AD91" s="646" t="str">
        <f t="shared" si="44"/>
        <v>3340-000-905M-LSP027</v>
      </c>
      <c r="AE91" s="648">
        <f t="shared" ca="1" si="45"/>
        <v>14.9</v>
      </c>
    </row>
    <row r="92" spans="1:31" s="7" customFormat="1" ht="12" customHeight="1">
      <c r="A92" s="23">
        <v>91</v>
      </c>
      <c r="B92" s="23" t="str">
        <f>SUBSTITUTE('ZAMÓWIENIE | WYCENA'!C45,"_",'ZAMÓWIENIE | WYCENA'!$L$13,1)</f>
        <v>3340-000-905M-LSP048</v>
      </c>
      <c r="C92" s="15">
        <f>'ZAMÓWIENIE | WYCENA'!L45</f>
        <v>0</v>
      </c>
      <c r="D92" s="14">
        <v>1</v>
      </c>
      <c r="F92" s="16"/>
      <c r="G92" s="16"/>
      <c r="H92" s="24">
        <f>IFERROR(IF(COUNTIFS($H$1:H91,H91)&gt;=VLOOKUP(H91,$A$2:$D$309,4,0),IF(H91=MAX($A$2:$A$317),"",Lista!H91+1),H91),"")</f>
        <v>91</v>
      </c>
      <c r="I92" s="22" t="str">
        <f t="shared" si="34"/>
        <v>3340-000-905M-LSP048</v>
      </c>
      <c r="J92" s="24">
        <f t="shared" si="35"/>
        <v>0</v>
      </c>
      <c r="K92" s="25">
        <f t="shared" si="46"/>
        <v>0</v>
      </c>
      <c r="L92" s="26">
        <f t="shared" si="47"/>
        <v>0</v>
      </c>
      <c r="M92" s="26">
        <f t="shared" si="36"/>
        <v>0</v>
      </c>
      <c r="N92" s="26" t="str">
        <f t="shared" si="37"/>
        <v>SHO</v>
      </c>
      <c r="O92" s="26" t="str">
        <f t="shared" si="38"/>
        <v>IPT</v>
      </c>
      <c r="P92" s="25" t="str">
        <f t="shared" ca="1" si="39"/>
        <v>ND260415_0</v>
      </c>
      <c r="Q92" s="27" t="str">
        <f t="shared" ca="1" si="48"/>
        <v>2026-04-15</v>
      </c>
      <c r="R92" s="26" t="str">
        <f t="shared" si="49"/>
        <v>PLN</v>
      </c>
      <c r="S92" s="23" t="str">
        <f>IF(H92=1,VLOOKUP(COUNTIF($H$2:H92,H92),Specyfikacja!$A$5:$D$99,2,0),IF(H92=2,VLOOKUP(COUNTIF($H$2:H92,H92),Specyfikacja!$A$5:$K$99,9,0),""))</f>
        <v/>
      </c>
      <c r="T92" s="23" t="str">
        <f>IF(H92=1,VLOOKUP(COUNTIF($H$2:H92,H92),Specyfikacja!$A$5:$D$99,3,0),IF(H92=2,VLOOKUP(COUNTIF($H$2:H92,H92),Specyfikacja!$A$5:$K$99,10,0),""))</f>
        <v/>
      </c>
      <c r="U92" s="23" t="str">
        <f>SUBSTITUTE(SUBSTITUTE(IF(H92=1,VLOOKUP(COUNTIF($H$2:H92,H92),Specyfikacja!$A$5:$D$99,4,0),IF(H92=2,VLOOKUP(COUNTIF($H$2:H92,H92),Specyfikacja!$A$5:$K$99,11,0),"")),"Tak","YES"),"Nie","NO")</f>
        <v/>
      </c>
      <c r="W92" s="646" t="str">
        <f t="shared" ca="1" si="41"/>
        <v>=PODSTAW('ZAMÓWIENIE | WYCENA'!C45;"_";'ZAMÓWIENIE | WYCENA'!$L$13;1)</v>
      </c>
      <c r="X92" s="646">
        <f t="shared" ca="1" si="40"/>
        <v>10</v>
      </c>
      <c r="Y92" s="646">
        <f t="shared" ca="1" si="42"/>
        <v>35</v>
      </c>
      <c r="Z92" s="646" t="str">
        <f t="shared" ca="1" si="43"/>
        <v>'ZAMÓWIENIE | WYCENA'!C45</v>
      </c>
      <c r="AA92" s="647">
        <f t="shared" ca="1" si="50"/>
        <v>16.899999999999999</v>
      </c>
      <c r="AB92" s="647">
        <f t="shared" ca="1" si="50"/>
        <v>16.899999999999999</v>
      </c>
      <c r="AC92" s="647">
        <f t="shared" ca="1" si="50"/>
        <v>19.899999999999999</v>
      </c>
      <c r="AD92" s="646" t="str">
        <f t="shared" si="44"/>
        <v>3340-000-905M-LSP048</v>
      </c>
      <c r="AE92" s="648">
        <f t="shared" ca="1" si="45"/>
        <v>19.899999999999999</v>
      </c>
    </row>
    <row r="93" spans="1:31" s="7" customFormat="1" ht="12" customHeight="1">
      <c r="A93" s="23">
        <v>92</v>
      </c>
      <c r="B93" s="23" t="str">
        <f>SUBSTITUTE('ZAMÓWIENIE | WYCENA'!C46,"_",'ZAMÓWIENIE | WYCENA'!$L$13,1)</f>
        <v>3340-000-905M-LSP200</v>
      </c>
      <c r="C93" s="15">
        <f>'ZAMÓWIENIE | WYCENA'!L46</f>
        <v>0</v>
      </c>
      <c r="D93" s="14">
        <v>1</v>
      </c>
      <c r="F93" s="16"/>
      <c r="G93" s="16"/>
      <c r="H93" s="24">
        <f>IFERROR(IF(COUNTIFS($H$1:H92,H92)&gt;=VLOOKUP(H92,$A$2:$D$309,4,0),IF(H92=MAX($A$2:$A$317),"",Lista!H92+1),H92),"")</f>
        <v>92</v>
      </c>
      <c r="I93" s="22" t="str">
        <f t="shared" si="34"/>
        <v>3340-000-905M-LSP200</v>
      </c>
      <c r="J93" s="24">
        <f t="shared" si="35"/>
        <v>0</v>
      </c>
      <c r="K93" s="25">
        <f t="shared" si="46"/>
        <v>0</v>
      </c>
      <c r="L93" s="26">
        <f t="shared" si="47"/>
        <v>0</v>
      </c>
      <c r="M93" s="26">
        <f t="shared" si="36"/>
        <v>0</v>
      </c>
      <c r="N93" s="26" t="str">
        <f t="shared" si="37"/>
        <v>SHO</v>
      </c>
      <c r="O93" s="26" t="str">
        <f t="shared" si="38"/>
        <v>IPT</v>
      </c>
      <c r="P93" s="25" t="str">
        <f t="shared" ca="1" si="39"/>
        <v>ND260415_0</v>
      </c>
      <c r="Q93" s="27" t="str">
        <f t="shared" ca="1" si="48"/>
        <v>2026-04-15</v>
      </c>
      <c r="R93" s="26" t="str">
        <f t="shared" si="49"/>
        <v>PLN</v>
      </c>
      <c r="S93" s="23" t="str">
        <f>IF(H93=1,VLOOKUP(COUNTIF($H$2:H93,H93),Specyfikacja!$A$5:$D$99,2,0),IF(H93=2,VLOOKUP(COUNTIF($H$2:H93,H93),Specyfikacja!$A$5:$K$99,9,0),""))</f>
        <v/>
      </c>
      <c r="T93" s="23" t="str">
        <f>IF(H93=1,VLOOKUP(COUNTIF($H$2:H93,H93),Specyfikacja!$A$5:$D$99,3,0),IF(H93=2,VLOOKUP(COUNTIF($H$2:H93,H93),Specyfikacja!$A$5:$K$99,10,0),""))</f>
        <v/>
      </c>
      <c r="U93" s="23" t="str">
        <f>SUBSTITUTE(SUBSTITUTE(IF(H93=1,VLOOKUP(COUNTIF($H$2:H93,H93),Specyfikacja!$A$5:$D$99,4,0),IF(H93=2,VLOOKUP(COUNTIF($H$2:H93,H93),Specyfikacja!$A$5:$K$99,11,0),"")),"Tak","YES"),"Nie","NO")</f>
        <v/>
      </c>
      <c r="W93" s="646" t="str">
        <f t="shared" ca="1" si="41"/>
        <v>=PODSTAW('ZAMÓWIENIE | WYCENA'!C46;"_";'ZAMÓWIENIE | WYCENA'!$L$13;1)</v>
      </c>
      <c r="X93" s="646">
        <f t="shared" ca="1" si="40"/>
        <v>10</v>
      </c>
      <c r="Y93" s="646">
        <f t="shared" ca="1" si="42"/>
        <v>35</v>
      </c>
      <c r="Z93" s="646" t="str">
        <f t="shared" ca="1" si="43"/>
        <v>'ZAMÓWIENIE | WYCENA'!C46</v>
      </c>
      <c r="AA93" s="647">
        <f t="shared" ca="1" si="50"/>
        <v>62.8</v>
      </c>
      <c r="AB93" s="647">
        <f t="shared" ca="1" si="50"/>
        <v>62.8</v>
      </c>
      <c r="AC93" s="647">
        <f t="shared" ca="1" si="50"/>
        <v>73.900000000000006</v>
      </c>
      <c r="AD93" s="646" t="str">
        <f t="shared" si="44"/>
        <v>3340-000-905M-LSP200</v>
      </c>
      <c r="AE93" s="648">
        <f t="shared" ca="1" si="45"/>
        <v>73.900000000000006</v>
      </c>
    </row>
    <row r="94" spans="1:31" s="7" customFormat="1" ht="12" customHeight="1">
      <c r="A94" s="23">
        <v>93</v>
      </c>
      <c r="B94" s="32" t="str">
        <f>SUBSTITUTE('ZAMÓWIENIE | WYCENA'!C47,"_",'ZAMÓWIENIE | WYCENA'!$L$13,1)</f>
        <v>3340-000-905M-LSE200</v>
      </c>
      <c r="C94" s="15">
        <f>'ZAMÓWIENIE | WYCENA'!L47</f>
        <v>0</v>
      </c>
      <c r="D94" s="14">
        <v>1</v>
      </c>
      <c r="F94" s="16"/>
      <c r="G94" s="16"/>
      <c r="H94" s="24">
        <f>IFERROR(IF(COUNTIFS($H$1:H93,H93)&gt;=VLOOKUP(H93,$A$2:$D$309,4,0),IF(H93=MAX($A$2:$A$317),"",Lista!H93+1),H93),"")</f>
        <v>93</v>
      </c>
      <c r="I94" s="22" t="str">
        <f t="shared" si="34"/>
        <v>3340-000-905M-LSE200</v>
      </c>
      <c r="J94" s="24">
        <f t="shared" si="35"/>
        <v>0</v>
      </c>
      <c r="K94" s="25">
        <f t="shared" si="46"/>
        <v>0</v>
      </c>
      <c r="L94" s="26">
        <f t="shared" si="47"/>
        <v>0</v>
      </c>
      <c r="M94" s="26">
        <f t="shared" si="36"/>
        <v>0</v>
      </c>
      <c r="N94" s="26" t="str">
        <f t="shared" si="37"/>
        <v>SHO</v>
      </c>
      <c r="O94" s="26" t="str">
        <f t="shared" si="38"/>
        <v>IPT</v>
      </c>
      <c r="P94" s="25" t="str">
        <f t="shared" ca="1" si="39"/>
        <v>ND260415_0</v>
      </c>
      <c r="Q94" s="27" t="str">
        <f t="shared" ca="1" si="48"/>
        <v>2026-04-15</v>
      </c>
      <c r="R94" s="26" t="str">
        <f t="shared" si="49"/>
        <v>PLN</v>
      </c>
      <c r="S94" s="23" t="str">
        <f>IF(H94=1,VLOOKUP(COUNTIF($H$2:H94,H94),Specyfikacja!$A$5:$D$99,2,0),IF(H94=2,VLOOKUP(COUNTIF($H$2:H94,H94),Specyfikacja!$A$5:$K$99,9,0),""))</f>
        <v/>
      </c>
      <c r="T94" s="23" t="str">
        <f>IF(H94=1,VLOOKUP(COUNTIF($H$2:H94,H94),Specyfikacja!$A$5:$D$99,3,0),IF(H94=2,VLOOKUP(COUNTIF($H$2:H94,H94),Specyfikacja!$A$5:$K$99,10,0),""))</f>
        <v/>
      </c>
      <c r="U94" s="23" t="str">
        <f>SUBSTITUTE(SUBSTITUTE(IF(H94=1,VLOOKUP(COUNTIF($H$2:H94,H94),Specyfikacja!$A$5:$D$99,4,0),IF(H94=2,VLOOKUP(COUNTIF($H$2:H94,H94),Specyfikacja!$A$5:$K$99,11,0),"")),"Tak","YES"),"Nie","NO")</f>
        <v/>
      </c>
      <c r="W94" s="646" t="str">
        <f t="shared" ca="1" si="41"/>
        <v>=PODSTAW('ZAMÓWIENIE | WYCENA'!C47;"_";'ZAMÓWIENIE | WYCENA'!$L$13;1)</v>
      </c>
      <c r="X94" s="646">
        <f t="shared" ca="1" si="40"/>
        <v>10</v>
      </c>
      <c r="Y94" s="646">
        <f t="shared" ca="1" si="42"/>
        <v>35</v>
      </c>
      <c r="Z94" s="646" t="str">
        <f t="shared" ca="1" si="43"/>
        <v>'ZAMÓWIENIE | WYCENA'!C47</v>
      </c>
      <c r="AA94" s="647">
        <f t="shared" ca="1" si="50"/>
        <v>0</v>
      </c>
      <c r="AB94" s="647">
        <f t="shared" ca="1" si="50"/>
        <v>0</v>
      </c>
      <c r="AC94" s="647">
        <f t="shared" ca="1" si="50"/>
        <v>89</v>
      </c>
      <c r="AD94" s="646" t="str">
        <f t="shared" si="44"/>
        <v>3340-000-905M-LSE200</v>
      </c>
      <c r="AE94" s="648">
        <f t="shared" ca="1" si="45"/>
        <v>89</v>
      </c>
    </row>
    <row r="95" spans="1:31" s="7" customFormat="1" ht="12" customHeight="1">
      <c r="A95" s="23">
        <v>94</v>
      </c>
      <c r="B95" s="23" t="str">
        <f>SUBSTITUTE('ZAMÓWIENIE | WYCENA'!C52,"_",'ZAMÓWIENIE | WYCENA'!$AF52,1)</f>
        <v>3320-000-716U-FZA100</v>
      </c>
      <c r="C95" s="15">
        <f>'ZAMÓWIENIE | WYCENA'!F52</f>
        <v>0</v>
      </c>
      <c r="D95" s="14">
        <v>1</v>
      </c>
      <c r="F95" s="16"/>
      <c r="G95" s="16"/>
      <c r="H95" s="24">
        <f>IFERROR(IF(COUNTIFS($H$1:H94,H94)&gt;=VLOOKUP(H94,$A$2:$D$309,4,0),IF(H94=MAX($A$2:$A$317),"",Lista!H94+1),H94),"")</f>
        <v>94</v>
      </c>
      <c r="I95" s="22" t="str">
        <f t="shared" si="34"/>
        <v>3320-000-716U-FZA100</v>
      </c>
      <c r="J95" s="24">
        <f t="shared" si="35"/>
        <v>0</v>
      </c>
      <c r="K95" s="25">
        <f t="shared" si="46"/>
        <v>0</v>
      </c>
      <c r="L95" s="26">
        <f t="shared" si="47"/>
        <v>0</v>
      </c>
      <c r="M95" s="26">
        <f t="shared" si="36"/>
        <v>0</v>
      </c>
      <c r="N95" s="26" t="str">
        <f t="shared" si="37"/>
        <v>SHO</v>
      </c>
      <c r="O95" s="26" t="str">
        <f t="shared" si="38"/>
        <v>IPT</v>
      </c>
      <c r="P95" s="25" t="str">
        <f t="shared" ca="1" si="39"/>
        <v>ND260415_0</v>
      </c>
      <c r="Q95" s="27" t="str">
        <f t="shared" ca="1" si="48"/>
        <v>2026-04-15</v>
      </c>
      <c r="R95" s="26" t="str">
        <f t="shared" si="49"/>
        <v>PLN</v>
      </c>
      <c r="S95" s="23" t="str">
        <f>IF(H95=1,VLOOKUP(COUNTIF($H$2:H95,H95),Specyfikacja!$A$5:$D$99,2,0),IF(H95=2,VLOOKUP(COUNTIF($H$2:H95,H95),Specyfikacja!$A$5:$K$99,9,0),""))</f>
        <v/>
      </c>
      <c r="T95" s="23" t="str">
        <f>IF(H95=1,VLOOKUP(COUNTIF($H$2:H95,H95),Specyfikacja!$A$5:$D$99,3,0),IF(H95=2,VLOOKUP(COUNTIF($H$2:H95,H95),Specyfikacja!$A$5:$K$99,10,0),""))</f>
        <v/>
      </c>
      <c r="U95" s="23" t="str">
        <f>SUBSTITUTE(SUBSTITUTE(IF(H95=1,VLOOKUP(COUNTIF($H$2:H95,H95),Specyfikacja!$A$5:$D$99,4,0),IF(H95=2,VLOOKUP(COUNTIF($H$2:H95,H95),Specyfikacja!$A$5:$K$99,11,0),"")),"Tak","YES"),"Nie","NO")</f>
        <v/>
      </c>
      <c r="W95" s="646" t="str">
        <f t="shared" ca="1" si="41"/>
        <v>=PODSTAW('ZAMÓWIENIE | WYCENA'!C52;"_";'ZAMÓWIENIE | WYCENA'!$AF52;1)</v>
      </c>
      <c r="X95" s="646">
        <f t="shared" ca="1" si="40"/>
        <v>10</v>
      </c>
      <c r="Y95" s="646">
        <f t="shared" ca="1" si="42"/>
        <v>35</v>
      </c>
      <c r="Z95" s="646" t="str">
        <f t="shared" ca="1" si="43"/>
        <v>'ZAMÓWIENIE | WYCENA'!C52</v>
      </c>
      <c r="AA95" s="647">
        <f t="shared" ca="1" si="50"/>
        <v>32</v>
      </c>
      <c r="AB95" s="647">
        <f t="shared" ca="1" si="50"/>
        <v>0</v>
      </c>
      <c r="AC95" s="647">
        <f t="shared" ca="1" si="50"/>
        <v>0</v>
      </c>
      <c r="AD95" s="646" t="str">
        <f t="shared" si="44"/>
        <v>3320-000-716U-FZA100</v>
      </c>
      <c r="AE95" s="648">
        <f t="shared" ca="1" si="45"/>
        <v>32</v>
      </c>
    </row>
    <row r="96" spans="1:31" s="7" customFormat="1" ht="12" customHeight="1">
      <c r="A96" s="23">
        <v>95</v>
      </c>
      <c r="B96" s="23" t="str">
        <f>SUBSTITUTE('ZAMÓWIENIE | WYCENA'!C53,"_",'ZAMÓWIENIE | WYCENA'!$AF53,1)</f>
        <v>3320-035-716U-WTX250</v>
      </c>
      <c r="C96" s="15">
        <f>'ZAMÓWIENIE | WYCENA'!F53</f>
        <v>0</v>
      </c>
      <c r="D96" s="14">
        <v>1</v>
      </c>
      <c r="F96" s="16"/>
      <c r="G96" s="16"/>
      <c r="H96" s="24">
        <f>IFERROR(IF(COUNTIFS($H$1:H95,H95)&gt;=VLOOKUP(H95,$A$2:$D$309,4,0),IF(H95=MAX($A$2:$A$317),"",Lista!H95+1),H95),"")</f>
        <v>95</v>
      </c>
      <c r="I96" s="22" t="str">
        <f t="shared" si="34"/>
        <v>3320-035-716U-WTX250</v>
      </c>
      <c r="J96" s="24">
        <f t="shared" si="35"/>
        <v>0</v>
      </c>
      <c r="K96" s="25">
        <f t="shared" si="46"/>
        <v>0</v>
      </c>
      <c r="L96" s="26">
        <f t="shared" si="47"/>
        <v>0</v>
      </c>
      <c r="M96" s="26">
        <f t="shared" si="36"/>
        <v>0</v>
      </c>
      <c r="N96" s="26" t="str">
        <f t="shared" si="37"/>
        <v>SHO</v>
      </c>
      <c r="O96" s="26" t="str">
        <f t="shared" si="38"/>
        <v>IPT</v>
      </c>
      <c r="P96" s="25" t="str">
        <f t="shared" ca="1" si="39"/>
        <v>ND260415_0</v>
      </c>
      <c r="Q96" s="27" t="str">
        <f t="shared" ca="1" si="48"/>
        <v>2026-04-15</v>
      </c>
      <c r="R96" s="26" t="str">
        <f t="shared" si="49"/>
        <v>PLN</v>
      </c>
      <c r="S96" s="23" t="str">
        <f>IF(H96=1,VLOOKUP(COUNTIF($H$2:H96,H96),Specyfikacja!$A$5:$D$99,2,0),IF(H96=2,VLOOKUP(COUNTIF($H$2:H96,H96),Specyfikacja!$A$5:$K$99,9,0),""))</f>
        <v/>
      </c>
      <c r="T96" s="23" t="str">
        <f>IF(H96=1,VLOOKUP(COUNTIF($H$2:H96,H96),Specyfikacja!$A$5:$D$99,3,0),IF(H96=2,VLOOKUP(COUNTIF($H$2:H96,H96),Specyfikacja!$A$5:$K$99,10,0),""))</f>
        <v/>
      </c>
      <c r="U96" s="23" t="str">
        <f>SUBSTITUTE(SUBSTITUTE(IF(H96=1,VLOOKUP(COUNTIF($H$2:H96,H96),Specyfikacja!$A$5:$D$99,4,0),IF(H96=2,VLOOKUP(COUNTIF($H$2:H96,H96),Specyfikacja!$A$5:$K$99,11,0),"")),"Tak","YES"),"Nie","NO")</f>
        <v/>
      </c>
      <c r="W96" s="646" t="str">
        <f t="shared" ca="1" si="41"/>
        <v>=PODSTAW('ZAMÓWIENIE | WYCENA'!C53;"_";'ZAMÓWIENIE | WYCENA'!$AF53;1)</v>
      </c>
      <c r="X96" s="646">
        <f t="shared" ca="1" si="40"/>
        <v>10</v>
      </c>
      <c r="Y96" s="646">
        <f t="shared" ca="1" si="42"/>
        <v>35</v>
      </c>
      <c r="Z96" s="646" t="str">
        <f t="shared" ca="1" si="43"/>
        <v>'ZAMÓWIENIE | WYCENA'!C53</v>
      </c>
      <c r="AA96" s="647">
        <f t="shared" ca="1" si="50"/>
        <v>101.9</v>
      </c>
      <c r="AB96" s="647">
        <f t="shared" ca="1" si="50"/>
        <v>0</v>
      </c>
      <c r="AC96" s="647">
        <f t="shared" ca="1" si="50"/>
        <v>0</v>
      </c>
      <c r="AD96" s="646" t="str">
        <f t="shared" si="44"/>
        <v>3320-035-716U-WTX250</v>
      </c>
      <c r="AE96" s="648">
        <f t="shared" ca="1" si="45"/>
        <v>101.9</v>
      </c>
    </row>
    <row r="97" spans="1:31" s="7" customFormat="1" ht="12" customHeight="1">
      <c r="A97" s="23">
        <v>96</v>
      </c>
      <c r="B97" s="23" t="str">
        <f>SUBSTITUTE('ZAMÓWIENIE | WYCENA'!C54,"_",'ZAMÓWIENIE | WYCENA'!$AF54,1)</f>
        <v>3320-020-716U-WTZ250</v>
      </c>
      <c r="C97" s="15">
        <f>'ZAMÓWIENIE | WYCENA'!F54</f>
        <v>0</v>
      </c>
      <c r="D97" s="14">
        <v>1</v>
      </c>
      <c r="F97" s="16"/>
      <c r="G97" s="16"/>
      <c r="H97" s="24">
        <f>IFERROR(IF(COUNTIFS($H$1:H96,H96)&gt;=VLOOKUP(H96,$A$2:$D$309,4,0),IF(H96=MAX($A$2:$A$317),"",Lista!H96+1),H96),"")</f>
        <v>96</v>
      </c>
      <c r="I97" s="22" t="str">
        <f t="shared" si="34"/>
        <v>3320-020-716U-WTZ250</v>
      </c>
      <c r="J97" s="24">
        <f t="shared" si="35"/>
        <v>0</v>
      </c>
      <c r="K97" s="25">
        <f t="shared" si="46"/>
        <v>0</v>
      </c>
      <c r="L97" s="26">
        <f t="shared" si="47"/>
        <v>0</v>
      </c>
      <c r="M97" s="26">
        <f t="shared" si="36"/>
        <v>0</v>
      </c>
      <c r="N97" s="26" t="str">
        <f t="shared" si="37"/>
        <v>SHO</v>
      </c>
      <c r="O97" s="26" t="str">
        <f t="shared" si="38"/>
        <v>IPT</v>
      </c>
      <c r="P97" s="25" t="str">
        <f t="shared" ca="1" si="39"/>
        <v>ND260415_0</v>
      </c>
      <c r="Q97" s="27" t="str">
        <f t="shared" ca="1" si="48"/>
        <v>2026-04-15</v>
      </c>
      <c r="R97" s="26" t="str">
        <f t="shared" si="49"/>
        <v>PLN</v>
      </c>
      <c r="S97" s="23" t="str">
        <f>IF(H97=1,VLOOKUP(COUNTIF($H$2:H97,H97),Specyfikacja!$A$5:$D$99,2,0),IF(H97=2,VLOOKUP(COUNTIF($H$2:H97,H97),Specyfikacja!$A$5:$K$99,9,0),""))</f>
        <v/>
      </c>
      <c r="T97" s="23" t="str">
        <f>IF(H97=1,VLOOKUP(COUNTIF($H$2:H97,H97),Specyfikacja!$A$5:$D$99,3,0),IF(H97=2,VLOOKUP(COUNTIF($H$2:H97,H97),Specyfikacja!$A$5:$K$99,10,0),""))</f>
        <v/>
      </c>
      <c r="U97" s="23" t="str">
        <f>SUBSTITUTE(SUBSTITUTE(IF(H97=1,VLOOKUP(COUNTIF($H$2:H97,H97),Specyfikacja!$A$5:$D$99,4,0),IF(H97=2,VLOOKUP(COUNTIF($H$2:H97,H97),Specyfikacja!$A$5:$K$99,11,0),"")),"Tak","YES"),"Nie","NO")</f>
        <v/>
      </c>
      <c r="W97" s="646" t="str">
        <f t="shared" ca="1" si="41"/>
        <v>=PODSTAW('ZAMÓWIENIE | WYCENA'!C54;"_";'ZAMÓWIENIE | WYCENA'!$AF54;1)</v>
      </c>
      <c r="X97" s="646">
        <f t="shared" ca="1" si="40"/>
        <v>10</v>
      </c>
      <c r="Y97" s="646">
        <f t="shared" ca="1" si="42"/>
        <v>35</v>
      </c>
      <c r="Z97" s="646" t="str">
        <f t="shared" ca="1" si="43"/>
        <v>'ZAMÓWIENIE | WYCENA'!C54</v>
      </c>
      <c r="AA97" s="647">
        <f t="shared" ca="1" si="50"/>
        <v>101.9</v>
      </c>
      <c r="AB97" s="647">
        <f t="shared" ca="1" si="50"/>
        <v>0</v>
      </c>
      <c r="AC97" s="647">
        <f t="shared" ca="1" si="50"/>
        <v>0</v>
      </c>
      <c r="AD97" s="646" t="str">
        <f t="shared" si="44"/>
        <v>3320-020-716U-WTZ250</v>
      </c>
      <c r="AE97" s="648">
        <f t="shared" ca="1" si="45"/>
        <v>101.9</v>
      </c>
    </row>
    <row r="98" spans="1:31" s="7" customFormat="1" ht="12" customHeight="1">
      <c r="A98" s="23">
        <v>97</v>
      </c>
      <c r="B98" s="23" t="str">
        <f>SUBSTITUTE('ZAMÓWIENIE | WYCENA'!C55,"_",'ZAMÓWIENIE | WYCENA'!$AF55,1)</f>
        <v>3320-035-716U-WFR250</v>
      </c>
      <c r="C98" s="15">
        <f>'ZAMÓWIENIE | WYCENA'!F55</f>
        <v>0</v>
      </c>
      <c r="D98" s="14">
        <v>1</v>
      </c>
      <c r="F98" s="16"/>
      <c r="G98" s="16"/>
      <c r="H98" s="24">
        <f>IFERROR(IF(COUNTIFS($H$1:H97,H97)&gt;=VLOOKUP(H97,$A$2:$D$309,4,0),IF(H97=MAX($A$2:$A$317),"",Lista!H97+1),H97),"")</f>
        <v>97</v>
      </c>
      <c r="I98" s="22" t="str">
        <f t="shared" ref="I98:I129" si="51">IFERROR(IF(H98=H97,"",VLOOKUP(H98,$A$2:$B$317,2,0)),"")</f>
        <v>3320-035-716U-WFR250</v>
      </c>
      <c r="J98" s="24">
        <f t="shared" ref="J98:J129" si="52">IFERROR(IF(H98=H97,"",VLOOKUP(H98,$A$2:$C$317,3,0)),"")</f>
        <v>0</v>
      </c>
      <c r="K98" s="25">
        <f t="shared" si="46"/>
        <v>0</v>
      </c>
      <c r="L98" s="26">
        <f t="shared" si="47"/>
        <v>0</v>
      </c>
      <c r="M98" s="26">
        <f t="shared" si="36"/>
        <v>0</v>
      </c>
      <c r="N98" s="26" t="str">
        <f t="shared" si="37"/>
        <v>SHO</v>
      </c>
      <c r="O98" s="26" t="str">
        <f t="shared" si="38"/>
        <v>IPT</v>
      </c>
      <c r="P98" s="25" t="str">
        <f t="shared" ca="1" si="39"/>
        <v>ND260415_0</v>
      </c>
      <c r="Q98" s="27" t="str">
        <f t="shared" ca="1" si="48"/>
        <v>2026-04-15</v>
      </c>
      <c r="R98" s="26" t="str">
        <f t="shared" si="49"/>
        <v>PLN</v>
      </c>
      <c r="S98" s="23" t="str">
        <f>IF(H98=1,VLOOKUP(COUNTIF($H$2:H98,H98),Specyfikacja!$A$5:$D$99,2,0),IF(H98=2,VLOOKUP(COUNTIF($H$2:H98,H98),Specyfikacja!$A$5:$K$99,9,0),""))</f>
        <v/>
      </c>
      <c r="T98" s="23" t="str">
        <f>IF(H98=1,VLOOKUP(COUNTIF($H$2:H98,H98),Specyfikacja!$A$5:$D$99,3,0),IF(H98=2,VLOOKUP(COUNTIF($H$2:H98,H98),Specyfikacja!$A$5:$K$99,10,0),""))</f>
        <v/>
      </c>
      <c r="U98" s="23" t="str">
        <f>SUBSTITUTE(SUBSTITUTE(IF(H98=1,VLOOKUP(COUNTIF($H$2:H98,H98),Specyfikacja!$A$5:$D$99,4,0),IF(H98=2,VLOOKUP(COUNTIF($H$2:H98,H98),Specyfikacja!$A$5:$K$99,11,0),"")),"Tak","YES"),"Nie","NO")</f>
        <v/>
      </c>
      <c r="W98" s="646" t="str">
        <f t="shared" ca="1" si="41"/>
        <v>=PODSTAW('ZAMÓWIENIE | WYCENA'!C55;"_";'ZAMÓWIENIE | WYCENA'!$AF55;1)</v>
      </c>
      <c r="X98" s="646">
        <f t="shared" ca="1" si="40"/>
        <v>10</v>
      </c>
      <c r="Y98" s="646">
        <f t="shared" ca="1" si="42"/>
        <v>35</v>
      </c>
      <c r="Z98" s="646" t="str">
        <f t="shared" ca="1" si="43"/>
        <v>'ZAMÓWIENIE | WYCENA'!C55</v>
      </c>
      <c r="AA98" s="647">
        <f t="shared" ca="1" si="50"/>
        <v>55.7</v>
      </c>
      <c r="AB98" s="647">
        <f t="shared" ca="1" si="50"/>
        <v>0</v>
      </c>
      <c r="AC98" s="647">
        <f t="shared" ca="1" si="50"/>
        <v>0</v>
      </c>
      <c r="AD98" s="646" t="str">
        <f t="shared" si="44"/>
        <v>3320-035-716U-WFR250</v>
      </c>
      <c r="AE98" s="648">
        <f t="shared" ca="1" si="45"/>
        <v>55.7</v>
      </c>
    </row>
    <row r="99" spans="1:31" s="7" customFormat="1" ht="12" customHeight="1">
      <c r="A99" s="23">
        <v>98</v>
      </c>
      <c r="B99" s="23" t="str">
        <f>SUBSTITUTE('ZAMÓWIENIE | WYCENA'!C56,"_",'ZAMÓWIENIE | WYCENA'!$AF56,1)</f>
        <v>1110-000-716S-RZL000</v>
      </c>
      <c r="C99" s="15">
        <f>'ZAMÓWIENIE | WYCENA'!F56</f>
        <v>0</v>
      </c>
      <c r="D99" s="14">
        <v>1</v>
      </c>
      <c r="F99" s="16"/>
      <c r="G99" s="16"/>
      <c r="H99" s="24">
        <f>IFERROR(IF(COUNTIFS($H$1:H98,H98)&gt;=VLOOKUP(H98,$A$2:$D$309,4,0),IF(H98=MAX($A$2:$A$317),"",Lista!H98+1),H98),"")</f>
        <v>98</v>
      </c>
      <c r="I99" s="22" t="str">
        <f t="shared" si="51"/>
        <v>1110-000-716S-RZL000</v>
      </c>
      <c r="J99" s="24">
        <f t="shared" si="52"/>
        <v>0</v>
      </c>
      <c r="K99" s="25">
        <f t="shared" si="46"/>
        <v>0</v>
      </c>
      <c r="L99" s="26">
        <f t="shared" si="47"/>
        <v>0</v>
      </c>
      <c r="M99" s="26">
        <f t="shared" si="36"/>
        <v>0</v>
      </c>
      <c r="N99" s="26" t="str">
        <f t="shared" si="37"/>
        <v>SHO</v>
      </c>
      <c r="O99" s="26" t="str">
        <f t="shared" si="38"/>
        <v>IPT</v>
      </c>
      <c r="P99" s="25" t="str">
        <f t="shared" ca="1" si="39"/>
        <v>ND260415_0</v>
      </c>
      <c r="Q99" s="27" t="str">
        <f t="shared" ca="1" si="48"/>
        <v>2026-04-15</v>
      </c>
      <c r="R99" s="26" t="str">
        <f t="shared" si="49"/>
        <v>PLN</v>
      </c>
      <c r="S99" s="23" t="str">
        <f>IF(H99=1,VLOOKUP(COUNTIF($H$2:H99,H99),Specyfikacja!$A$5:$D$99,2,0),IF(H99=2,VLOOKUP(COUNTIF($H$2:H99,H99),Specyfikacja!$A$5:$K$99,9,0),""))</f>
        <v/>
      </c>
      <c r="T99" s="23" t="str">
        <f>IF(H99=1,VLOOKUP(COUNTIF($H$2:H99,H99),Specyfikacja!$A$5:$D$99,3,0),IF(H99=2,VLOOKUP(COUNTIF($H$2:H99,H99),Specyfikacja!$A$5:$K$99,10,0),""))</f>
        <v/>
      </c>
      <c r="U99" s="23" t="str">
        <f>SUBSTITUTE(SUBSTITUTE(IF(H99=1,VLOOKUP(COUNTIF($H$2:H99,H99),Specyfikacja!$A$5:$D$99,4,0),IF(H99=2,VLOOKUP(COUNTIF($H$2:H99,H99),Specyfikacja!$A$5:$K$99,11,0),"")),"Tak","YES"),"Nie","NO")</f>
        <v/>
      </c>
      <c r="W99" s="646" t="str">
        <f t="shared" ca="1" si="41"/>
        <v>=PODSTAW('ZAMÓWIENIE | WYCENA'!C56;"_";'ZAMÓWIENIE | WYCENA'!$AF56;1)</v>
      </c>
      <c r="X99" s="646">
        <f t="shared" ca="1" si="40"/>
        <v>10</v>
      </c>
      <c r="Y99" s="646">
        <f t="shared" ca="1" si="42"/>
        <v>35</v>
      </c>
      <c r="Z99" s="646" t="str">
        <f t="shared" ca="1" si="43"/>
        <v>'ZAMÓWIENIE | WYCENA'!C56</v>
      </c>
      <c r="AA99" s="647">
        <f t="shared" ca="1" si="50"/>
        <v>5.3</v>
      </c>
      <c r="AB99" s="647">
        <f t="shared" ca="1" si="50"/>
        <v>0</v>
      </c>
      <c r="AC99" s="647">
        <f t="shared" ca="1" si="50"/>
        <v>0</v>
      </c>
      <c r="AD99" s="646" t="str">
        <f t="shared" si="44"/>
        <v>1110-000-716S-RZL000</v>
      </c>
      <c r="AE99" s="648">
        <f t="shared" ca="1" si="45"/>
        <v>5.3</v>
      </c>
    </row>
    <row r="100" spans="1:31" s="7" customFormat="1" ht="12" customHeight="1">
      <c r="A100" s="23">
        <v>99</v>
      </c>
      <c r="B100" s="23" t="str">
        <f>SUBSTITUTE('ZAMÓWIENIE | WYCENA'!C57,"_",'ZAMÓWIENIE | WYCENA'!$AF57,1)</f>
        <v>1110-000-716S-RZP000</v>
      </c>
      <c r="C100" s="15">
        <f>'ZAMÓWIENIE | WYCENA'!F57</f>
        <v>0</v>
      </c>
      <c r="D100" s="14">
        <v>1</v>
      </c>
      <c r="F100" s="16"/>
      <c r="G100" s="16"/>
      <c r="H100" s="24">
        <f>IFERROR(IF(COUNTIFS($H$1:H99,H99)&gt;=VLOOKUP(H99,$A$2:$D$309,4,0),IF(H99=MAX($A$2:$A$317),"",Lista!H99+1),H99),"")</f>
        <v>99</v>
      </c>
      <c r="I100" s="22" t="str">
        <f t="shared" si="51"/>
        <v>1110-000-716S-RZP000</v>
      </c>
      <c r="J100" s="24">
        <f t="shared" si="52"/>
        <v>0</v>
      </c>
      <c r="K100" s="25">
        <f t="shared" si="46"/>
        <v>0</v>
      </c>
      <c r="L100" s="26">
        <f t="shared" si="47"/>
        <v>0</v>
      </c>
      <c r="M100" s="26">
        <f t="shared" si="36"/>
        <v>0</v>
      </c>
      <c r="N100" s="26" t="str">
        <f t="shared" si="37"/>
        <v>SHO</v>
      </c>
      <c r="O100" s="26" t="str">
        <f t="shared" si="38"/>
        <v>IPT</v>
      </c>
      <c r="P100" s="25" t="str">
        <f t="shared" ca="1" si="39"/>
        <v>ND260415_0</v>
      </c>
      <c r="Q100" s="27" t="str">
        <f t="shared" ca="1" si="48"/>
        <v>2026-04-15</v>
      </c>
      <c r="R100" s="26" t="str">
        <f t="shared" si="49"/>
        <v>PLN</v>
      </c>
      <c r="S100" s="23" t="str">
        <f>IF(H100=1,VLOOKUP(COUNTIF($H$2:H100,H100),Specyfikacja!$A$5:$D$99,2,0),IF(H100=2,VLOOKUP(COUNTIF($H$2:H100,H100),Specyfikacja!$A$5:$K$99,9,0),""))</f>
        <v/>
      </c>
      <c r="T100" s="23" t="str">
        <f>IF(H100=1,VLOOKUP(COUNTIF($H$2:H100,H100),Specyfikacja!$A$5:$D$99,3,0),IF(H100=2,VLOOKUP(COUNTIF($H$2:H100,H100),Specyfikacja!$A$5:$K$99,10,0),""))</f>
        <v/>
      </c>
      <c r="U100" s="23" t="str">
        <f>SUBSTITUTE(SUBSTITUTE(IF(H100=1,VLOOKUP(COUNTIF($H$2:H100,H100),Specyfikacja!$A$5:$D$99,4,0),IF(H100=2,VLOOKUP(COUNTIF($H$2:H100,H100),Specyfikacja!$A$5:$K$99,11,0),"")),"Tak","YES"),"Nie","NO")</f>
        <v/>
      </c>
      <c r="W100" s="646" t="str">
        <f t="shared" ca="1" si="41"/>
        <v>=PODSTAW('ZAMÓWIENIE | WYCENA'!C57;"_";'ZAMÓWIENIE | WYCENA'!$AF57;1)</v>
      </c>
      <c r="X100" s="646">
        <f t="shared" ca="1" si="40"/>
        <v>10</v>
      </c>
      <c r="Y100" s="646">
        <f t="shared" ca="1" si="42"/>
        <v>35</v>
      </c>
      <c r="Z100" s="646" t="str">
        <f t="shared" ca="1" si="43"/>
        <v>'ZAMÓWIENIE | WYCENA'!C57</v>
      </c>
      <c r="AA100" s="647">
        <f t="shared" ca="1" si="50"/>
        <v>5.3</v>
      </c>
      <c r="AB100" s="647">
        <f t="shared" ca="1" si="50"/>
        <v>0</v>
      </c>
      <c r="AC100" s="647">
        <f t="shared" ca="1" si="50"/>
        <v>0</v>
      </c>
      <c r="AD100" s="646" t="str">
        <f t="shared" si="44"/>
        <v>1110-000-716S-RZP000</v>
      </c>
      <c r="AE100" s="648">
        <f t="shared" ca="1" si="45"/>
        <v>5.3</v>
      </c>
    </row>
    <row r="101" spans="1:31" s="7" customFormat="1" ht="12" customHeight="1">
      <c r="A101" s="23">
        <v>100</v>
      </c>
      <c r="B101" s="23" t="str">
        <f>SUBSTITUTE('ZAMÓWIENIE | WYCENA'!C52,"_",'ZAMÓWIENIE | WYCENA'!$AG52,1)</f>
        <v>3320-000-905M-FZA100</v>
      </c>
      <c r="C101" s="15">
        <f>'ZAMÓWIENIE | WYCENA'!G52</f>
        <v>0</v>
      </c>
      <c r="D101" s="14">
        <v>1</v>
      </c>
      <c r="F101" s="16"/>
      <c r="G101" s="16"/>
      <c r="H101" s="24">
        <f>IFERROR(IF(COUNTIFS($H$1:H100,H100)&gt;=VLOOKUP(H100,$A$2:$D$309,4,0),IF(H100=MAX($A$2:$A$317),"",Lista!H100+1),H100),"")</f>
        <v>100</v>
      </c>
      <c r="I101" s="22" t="str">
        <f t="shared" si="51"/>
        <v>3320-000-905M-FZA100</v>
      </c>
      <c r="J101" s="24">
        <f t="shared" si="52"/>
        <v>0</v>
      </c>
      <c r="K101" s="25">
        <f t="shared" si="46"/>
        <v>0</v>
      </c>
      <c r="L101" s="26">
        <f t="shared" si="47"/>
        <v>0</v>
      </c>
      <c r="M101" s="26">
        <f t="shared" si="36"/>
        <v>0</v>
      </c>
      <c r="N101" s="26" t="str">
        <f t="shared" si="37"/>
        <v>SHO</v>
      </c>
      <c r="O101" s="26" t="str">
        <f t="shared" si="38"/>
        <v>IPT</v>
      </c>
      <c r="P101" s="25" t="str">
        <f t="shared" ca="1" si="39"/>
        <v>ND260415_0</v>
      </c>
      <c r="Q101" s="27" t="str">
        <f t="shared" ca="1" si="48"/>
        <v>2026-04-15</v>
      </c>
      <c r="R101" s="26" t="str">
        <f t="shared" si="49"/>
        <v>PLN</v>
      </c>
      <c r="S101" s="23" t="str">
        <f>IF(H101=1,VLOOKUP(COUNTIF($H$2:H101,H101),Specyfikacja!$A$5:$D$99,2,0),IF(H101=2,VLOOKUP(COUNTIF($H$2:H101,H101),Specyfikacja!$A$5:$K$99,9,0),""))</f>
        <v/>
      </c>
      <c r="T101" s="23" t="str">
        <f>IF(H101=1,VLOOKUP(COUNTIF($H$2:H101,H101),Specyfikacja!$A$5:$D$99,3,0),IF(H101=2,VLOOKUP(COUNTIF($H$2:H101,H101),Specyfikacja!$A$5:$K$99,10,0),""))</f>
        <v/>
      </c>
      <c r="U101" s="23" t="str">
        <f>SUBSTITUTE(SUBSTITUTE(IF(H101=1,VLOOKUP(COUNTIF($H$2:H101,H101),Specyfikacja!$A$5:$D$99,4,0),IF(H101=2,VLOOKUP(COUNTIF($H$2:H101,H101),Specyfikacja!$A$5:$K$99,11,0),"")),"Tak","YES"),"Nie","NO")</f>
        <v/>
      </c>
      <c r="W101" s="646" t="str">
        <f t="shared" ca="1" si="41"/>
        <v>=PODSTAW('ZAMÓWIENIE | WYCENA'!C52;"_";'ZAMÓWIENIE | WYCENA'!$AG52;1)</v>
      </c>
      <c r="X101" s="646">
        <f t="shared" ca="1" si="40"/>
        <v>10</v>
      </c>
      <c r="Y101" s="646">
        <f t="shared" ca="1" si="42"/>
        <v>35</v>
      </c>
      <c r="Z101" s="646" t="str">
        <f t="shared" ca="1" si="43"/>
        <v>'ZAMÓWIENIE | WYCENA'!C52</v>
      </c>
      <c r="AA101" s="647">
        <f t="shared" ca="1" si="50"/>
        <v>32</v>
      </c>
      <c r="AB101" s="647">
        <f t="shared" ca="1" si="50"/>
        <v>0</v>
      </c>
      <c r="AC101" s="647">
        <f t="shared" ca="1" si="50"/>
        <v>0</v>
      </c>
      <c r="AD101" s="646" t="str">
        <f t="shared" si="44"/>
        <v>3320-000-905M-FZA100</v>
      </c>
      <c r="AE101" s="648">
        <f t="shared" ca="1" si="45"/>
        <v>32</v>
      </c>
    </row>
    <row r="102" spans="1:31" s="7" customFormat="1" ht="12" customHeight="1">
      <c r="A102" s="23">
        <v>101</v>
      </c>
      <c r="B102" s="23" t="str">
        <f>SUBSTITUTE('ZAMÓWIENIE | WYCENA'!C53,"_",'ZAMÓWIENIE | WYCENA'!$AG53,1)</f>
        <v>3320-035-905P-WTX250</v>
      </c>
      <c r="C102" s="15">
        <f>'ZAMÓWIENIE | WYCENA'!G53</f>
        <v>0</v>
      </c>
      <c r="D102" s="14">
        <v>1</v>
      </c>
      <c r="F102" s="16"/>
      <c r="G102" s="16"/>
      <c r="H102" s="24">
        <f>IFERROR(IF(COUNTIFS($H$1:H101,H101)&gt;=VLOOKUP(H101,$A$2:$D$309,4,0),IF(H101=MAX($A$2:$A$317),"",Lista!H101+1),H101),"")</f>
        <v>101</v>
      </c>
      <c r="I102" s="22" t="str">
        <f t="shared" si="51"/>
        <v>3320-035-905P-WTX250</v>
      </c>
      <c r="J102" s="24">
        <f t="shared" si="52"/>
        <v>0</v>
      </c>
      <c r="K102" s="25">
        <f t="shared" si="46"/>
        <v>0</v>
      </c>
      <c r="L102" s="26">
        <f t="shared" si="47"/>
        <v>0</v>
      </c>
      <c r="M102" s="26">
        <f t="shared" si="36"/>
        <v>0</v>
      </c>
      <c r="N102" s="26" t="str">
        <f t="shared" si="37"/>
        <v>SHO</v>
      </c>
      <c r="O102" s="26" t="str">
        <f t="shared" si="38"/>
        <v>IPT</v>
      </c>
      <c r="P102" s="25" t="str">
        <f t="shared" ca="1" si="39"/>
        <v>ND260415_0</v>
      </c>
      <c r="Q102" s="27" t="str">
        <f t="shared" ca="1" si="48"/>
        <v>2026-04-15</v>
      </c>
      <c r="R102" s="26" t="str">
        <f t="shared" si="49"/>
        <v>PLN</v>
      </c>
      <c r="S102" s="23" t="str">
        <f>IF(H102=1,VLOOKUP(COUNTIF($H$2:H102,H102),Specyfikacja!$A$5:$D$99,2,0),IF(H102=2,VLOOKUP(COUNTIF($H$2:H102,H102),Specyfikacja!$A$5:$K$99,9,0),""))</f>
        <v/>
      </c>
      <c r="T102" s="23" t="str">
        <f>IF(H102=1,VLOOKUP(COUNTIF($H$2:H102,H102),Specyfikacja!$A$5:$D$99,3,0),IF(H102=2,VLOOKUP(COUNTIF($H$2:H102,H102),Specyfikacja!$A$5:$K$99,10,0),""))</f>
        <v/>
      </c>
      <c r="U102" s="23" t="str">
        <f>SUBSTITUTE(SUBSTITUTE(IF(H102=1,VLOOKUP(COUNTIF($H$2:H102,H102),Specyfikacja!$A$5:$D$99,4,0),IF(H102=2,VLOOKUP(COUNTIF($H$2:H102,H102),Specyfikacja!$A$5:$K$99,11,0),"")),"Tak","YES"),"Nie","NO")</f>
        <v/>
      </c>
      <c r="W102" s="646" t="str">
        <f t="shared" ca="1" si="41"/>
        <v>=PODSTAW('ZAMÓWIENIE | WYCENA'!C53;"_";'ZAMÓWIENIE | WYCENA'!$AG53;1)</v>
      </c>
      <c r="X102" s="646">
        <f t="shared" ca="1" si="40"/>
        <v>10</v>
      </c>
      <c r="Y102" s="646">
        <f t="shared" ca="1" si="42"/>
        <v>35</v>
      </c>
      <c r="Z102" s="646" t="str">
        <f t="shared" ca="1" si="43"/>
        <v>'ZAMÓWIENIE | WYCENA'!C53</v>
      </c>
      <c r="AA102" s="647">
        <f t="shared" ca="1" si="50"/>
        <v>101.9</v>
      </c>
      <c r="AB102" s="647">
        <f t="shared" ca="1" si="50"/>
        <v>0</v>
      </c>
      <c r="AC102" s="647">
        <f t="shared" ca="1" si="50"/>
        <v>0</v>
      </c>
      <c r="AD102" s="646" t="str">
        <f t="shared" si="44"/>
        <v>3320-035-905P-WTX250</v>
      </c>
      <c r="AE102" s="648">
        <f t="shared" ca="1" si="45"/>
        <v>101.9</v>
      </c>
    </row>
    <row r="103" spans="1:31" s="7" customFormat="1" ht="12" customHeight="1">
      <c r="A103" s="23">
        <v>102</v>
      </c>
      <c r="B103" s="23" t="str">
        <f>SUBSTITUTE('ZAMÓWIENIE | WYCENA'!C54,"_",'ZAMÓWIENIE | WYCENA'!$AG54,1)</f>
        <v>3320-020-905P-WTZ250</v>
      </c>
      <c r="C103" s="15">
        <f>'ZAMÓWIENIE | WYCENA'!G54</f>
        <v>0</v>
      </c>
      <c r="D103" s="14">
        <v>1</v>
      </c>
      <c r="F103" s="16"/>
      <c r="G103" s="16"/>
      <c r="H103" s="24">
        <f>IFERROR(IF(COUNTIFS($H$1:H102,H102)&gt;=VLOOKUP(H102,$A$2:$D$309,4,0),IF(H102=MAX($A$2:$A$317),"",Lista!H102+1),H102),"")</f>
        <v>102</v>
      </c>
      <c r="I103" s="22" t="str">
        <f t="shared" si="51"/>
        <v>3320-020-905P-WTZ250</v>
      </c>
      <c r="J103" s="24">
        <f t="shared" si="52"/>
        <v>0</v>
      </c>
      <c r="K103" s="25">
        <f t="shared" si="46"/>
        <v>0</v>
      </c>
      <c r="L103" s="26">
        <f t="shared" si="47"/>
        <v>0</v>
      </c>
      <c r="M103" s="26">
        <f t="shared" si="36"/>
        <v>0</v>
      </c>
      <c r="N103" s="26" t="str">
        <f t="shared" si="37"/>
        <v>SHO</v>
      </c>
      <c r="O103" s="26" t="str">
        <f t="shared" si="38"/>
        <v>IPT</v>
      </c>
      <c r="P103" s="25" t="str">
        <f t="shared" ca="1" si="39"/>
        <v>ND260415_0</v>
      </c>
      <c r="Q103" s="27" t="str">
        <f t="shared" ca="1" si="48"/>
        <v>2026-04-15</v>
      </c>
      <c r="R103" s="26" t="str">
        <f t="shared" si="49"/>
        <v>PLN</v>
      </c>
      <c r="S103" s="23" t="str">
        <f>IF(H103=1,VLOOKUP(COUNTIF($H$2:H103,H103),Specyfikacja!$A$5:$D$99,2,0),IF(H103=2,VLOOKUP(COUNTIF($H$2:H103,H103),Specyfikacja!$A$5:$K$99,9,0),""))</f>
        <v/>
      </c>
      <c r="T103" s="23" t="str">
        <f>IF(H103=1,VLOOKUP(COUNTIF($H$2:H103,H103),Specyfikacja!$A$5:$D$99,3,0),IF(H103=2,VLOOKUP(COUNTIF($H$2:H103,H103),Specyfikacja!$A$5:$K$99,10,0),""))</f>
        <v/>
      </c>
      <c r="U103" s="23" t="str">
        <f>SUBSTITUTE(SUBSTITUTE(IF(H103=1,VLOOKUP(COUNTIF($H$2:H103,H103),Specyfikacja!$A$5:$D$99,4,0),IF(H103=2,VLOOKUP(COUNTIF($H$2:H103,H103),Specyfikacja!$A$5:$K$99,11,0),"")),"Tak","YES"),"Nie","NO")</f>
        <v/>
      </c>
      <c r="W103" s="646" t="str">
        <f t="shared" ca="1" si="41"/>
        <v>=PODSTAW('ZAMÓWIENIE | WYCENA'!C54;"_";'ZAMÓWIENIE | WYCENA'!$AG54;1)</v>
      </c>
      <c r="X103" s="646">
        <f t="shared" ca="1" si="40"/>
        <v>10</v>
      </c>
      <c r="Y103" s="646">
        <f t="shared" ca="1" si="42"/>
        <v>35</v>
      </c>
      <c r="Z103" s="646" t="str">
        <f t="shared" ca="1" si="43"/>
        <v>'ZAMÓWIENIE | WYCENA'!C54</v>
      </c>
      <c r="AA103" s="647">
        <f t="shared" ca="1" si="50"/>
        <v>101.9</v>
      </c>
      <c r="AB103" s="647">
        <f t="shared" ca="1" si="50"/>
        <v>0</v>
      </c>
      <c r="AC103" s="647">
        <f t="shared" ca="1" si="50"/>
        <v>0</v>
      </c>
      <c r="AD103" s="646" t="str">
        <f t="shared" si="44"/>
        <v>3320-020-905P-WTZ250</v>
      </c>
      <c r="AE103" s="648">
        <f t="shared" ca="1" si="45"/>
        <v>101.9</v>
      </c>
    </row>
    <row r="104" spans="1:31" s="7" customFormat="1" ht="12" customHeight="1">
      <c r="A104" s="23">
        <v>103</v>
      </c>
      <c r="B104" s="23" t="str">
        <f>SUBSTITUTE('ZAMÓWIENIE | WYCENA'!C55,"_",'ZAMÓWIENIE | WYCENA'!$AG55,1)</f>
        <v>3320-035-905P-WFR250</v>
      </c>
      <c r="C104" s="15">
        <f>'ZAMÓWIENIE | WYCENA'!G55</f>
        <v>0</v>
      </c>
      <c r="D104" s="14">
        <v>1</v>
      </c>
      <c r="F104" s="16"/>
      <c r="G104" s="16"/>
      <c r="H104" s="24">
        <f>IFERROR(IF(COUNTIFS($H$1:H103,H103)&gt;=VLOOKUP(H103,$A$2:$D$309,4,0),IF(H103=MAX($A$2:$A$317),"",Lista!H103+1),H103),"")</f>
        <v>103</v>
      </c>
      <c r="I104" s="22" t="str">
        <f t="shared" si="51"/>
        <v>3320-035-905P-WFR250</v>
      </c>
      <c r="J104" s="24">
        <f t="shared" si="52"/>
        <v>0</v>
      </c>
      <c r="K104" s="25">
        <f t="shared" si="46"/>
        <v>0</v>
      </c>
      <c r="L104" s="26">
        <f t="shared" si="47"/>
        <v>0</v>
      </c>
      <c r="M104" s="26">
        <f t="shared" si="36"/>
        <v>0</v>
      </c>
      <c r="N104" s="26" t="str">
        <f t="shared" si="37"/>
        <v>SHO</v>
      </c>
      <c r="O104" s="26" t="str">
        <f t="shared" si="38"/>
        <v>IPT</v>
      </c>
      <c r="P104" s="25" t="str">
        <f t="shared" ca="1" si="39"/>
        <v>ND260415_0</v>
      </c>
      <c r="Q104" s="27" t="str">
        <f t="shared" ca="1" si="48"/>
        <v>2026-04-15</v>
      </c>
      <c r="R104" s="26" t="str">
        <f t="shared" si="49"/>
        <v>PLN</v>
      </c>
      <c r="S104" s="23" t="str">
        <f>IF(H104=1,VLOOKUP(COUNTIF($H$2:H104,H104),Specyfikacja!$A$5:$D$99,2,0),IF(H104=2,VLOOKUP(COUNTIF($H$2:H104,H104),Specyfikacja!$A$5:$K$99,9,0),""))</f>
        <v/>
      </c>
      <c r="T104" s="23" t="str">
        <f>IF(H104=1,VLOOKUP(COUNTIF($H$2:H104,H104),Specyfikacja!$A$5:$D$99,3,0),IF(H104=2,VLOOKUP(COUNTIF($H$2:H104,H104),Specyfikacja!$A$5:$K$99,10,0),""))</f>
        <v/>
      </c>
      <c r="U104" s="23" t="str">
        <f>SUBSTITUTE(SUBSTITUTE(IF(H104=1,VLOOKUP(COUNTIF($H$2:H104,H104),Specyfikacja!$A$5:$D$99,4,0),IF(H104=2,VLOOKUP(COUNTIF($H$2:H104,H104),Specyfikacja!$A$5:$K$99,11,0),"")),"Tak","YES"),"Nie","NO")</f>
        <v/>
      </c>
      <c r="W104" s="646" t="str">
        <f t="shared" ca="1" si="41"/>
        <v>=PODSTAW('ZAMÓWIENIE | WYCENA'!C55;"_";'ZAMÓWIENIE | WYCENA'!$AG55;1)</v>
      </c>
      <c r="X104" s="646">
        <f t="shared" ca="1" si="40"/>
        <v>10</v>
      </c>
      <c r="Y104" s="646">
        <f t="shared" ca="1" si="42"/>
        <v>35</v>
      </c>
      <c r="Z104" s="646" t="str">
        <f t="shared" ca="1" si="43"/>
        <v>'ZAMÓWIENIE | WYCENA'!C55</v>
      </c>
      <c r="AA104" s="647">
        <f t="shared" ca="1" si="50"/>
        <v>55.7</v>
      </c>
      <c r="AB104" s="647">
        <f t="shared" ca="1" si="50"/>
        <v>0</v>
      </c>
      <c r="AC104" s="647">
        <f t="shared" ca="1" si="50"/>
        <v>0</v>
      </c>
      <c r="AD104" s="646" t="str">
        <f t="shared" si="44"/>
        <v>3320-035-905P-WFR250</v>
      </c>
      <c r="AE104" s="648">
        <f t="shared" ca="1" si="45"/>
        <v>55.7</v>
      </c>
    </row>
    <row r="105" spans="1:31" s="7" customFormat="1" ht="12" customHeight="1">
      <c r="A105" s="23">
        <v>104</v>
      </c>
      <c r="B105" s="23" t="str">
        <f>SUBSTITUTE('ZAMÓWIENIE | WYCENA'!C56,"_",'ZAMÓWIENIE | WYCENA'!$AG56,1)</f>
        <v>1110-000-905S-RZL000</v>
      </c>
      <c r="C105" s="15">
        <f>'ZAMÓWIENIE | WYCENA'!G56</f>
        <v>0</v>
      </c>
      <c r="D105" s="14">
        <v>1</v>
      </c>
      <c r="F105" s="16"/>
      <c r="G105" s="16"/>
      <c r="H105" s="24">
        <f>IFERROR(IF(COUNTIFS($H$1:H104,H104)&gt;=VLOOKUP(H104,$A$2:$D$309,4,0),IF(H104=MAX($A$2:$A$317),"",Lista!H104+1),H104),"")</f>
        <v>104</v>
      </c>
      <c r="I105" s="22" t="str">
        <f t="shared" si="51"/>
        <v>1110-000-905S-RZL000</v>
      </c>
      <c r="J105" s="24">
        <f t="shared" si="52"/>
        <v>0</v>
      </c>
      <c r="K105" s="25">
        <f t="shared" si="46"/>
        <v>0</v>
      </c>
      <c r="L105" s="26">
        <f t="shared" si="47"/>
        <v>0</v>
      </c>
      <c r="M105" s="26">
        <f t="shared" si="36"/>
        <v>0</v>
      </c>
      <c r="N105" s="26" t="str">
        <f t="shared" si="37"/>
        <v>SHO</v>
      </c>
      <c r="O105" s="26" t="str">
        <f t="shared" si="38"/>
        <v>IPT</v>
      </c>
      <c r="P105" s="25" t="str">
        <f t="shared" ca="1" si="39"/>
        <v>ND260415_0</v>
      </c>
      <c r="Q105" s="27" t="str">
        <f t="shared" ca="1" si="48"/>
        <v>2026-04-15</v>
      </c>
      <c r="R105" s="26" t="str">
        <f t="shared" si="49"/>
        <v>PLN</v>
      </c>
      <c r="S105" s="23" t="str">
        <f>IF(H105=1,VLOOKUP(COUNTIF($H$2:H105,H105),Specyfikacja!$A$5:$D$99,2,0),IF(H105=2,VLOOKUP(COUNTIF($H$2:H105,H105),Specyfikacja!$A$5:$K$99,9,0),""))</f>
        <v/>
      </c>
      <c r="T105" s="23" t="str">
        <f>IF(H105=1,VLOOKUP(COUNTIF($H$2:H105,H105),Specyfikacja!$A$5:$D$99,3,0),IF(H105=2,VLOOKUP(COUNTIF($H$2:H105,H105),Specyfikacja!$A$5:$K$99,10,0),""))</f>
        <v/>
      </c>
      <c r="U105" s="23" t="str">
        <f>SUBSTITUTE(SUBSTITUTE(IF(H105=1,VLOOKUP(COUNTIF($H$2:H105,H105),Specyfikacja!$A$5:$D$99,4,0),IF(H105=2,VLOOKUP(COUNTIF($H$2:H105,H105),Specyfikacja!$A$5:$K$99,11,0),"")),"Tak","YES"),"Nie","NO")</f>
        <v/>
      </c>
      <c r="W105" s="646" t="str">
        <f t="shared" ca="1" si="41"/>
        <v>=PODSTAW('ZAMÓWIENIE | WYCENA'!C56;"_";'ZAMÓWIENIE | WYCENA'!$AG56;1)</v>
      </c>
      <c r="X105" s="646">
        <f t="shared" ca="1" si="40"/>
        <v>10</v>
      </c>
      <c r="Y105" s="646">
        <f t="shared" ca="1" si="42"/>
        <v>35</v>
      </c>
      <c r="Z105" s="646" t="str">
        <f t="shared" ca="1" si="43"/>
        <v>'ZAMÓWIENIE | WYCENA'!C56</v>
      </c>
      <c r="AA105" s="647">
        <f t="shared" ca="1" si="50"/>
        <v>5.3</v>
      </c>
      <c r="AB105" s="647">
        <f t="shared" ca="1" si="50"/>
        <v>0</v>
      </c>
      <c r="AC105" s="647">
        <f t="shared" ca="1" si="50"/>
        <v>0</v>
      </c>
      <c r="AD105" s="646" t="str">
        <f t="shared" si="44"/>
        <v>1110-000-905S-RZL000</v>
      </c>
      <c r="AE105" s="648">
        <f t="shared" ca="1" si="45"/>
        <v>5.3</v>
      </c>
    </row>
    <row r="106" spans="1:31" s="7" customFormat="1" ht="12" customHeight="1">
      <c r="A106" s="23">
        <v>105</v>
      </c>
      <c r="B106" s="23" t="str">
        <f>SUBSTITUTE('ZAMÓWIENIE | WYCENA'!C57,"_",'ZAMÓWIENIE | WYCENA'!$AG57,1)</f>
        <v>1110-000-905S-RZP000</v>
      </c>
      <c r="C106" s="15">
        <f>'ZAMÓWIENIE | WYCENA'!G57</f>
        <v>0</v>
      </c>
      <c r="D106" s="14">
        <v>1</v>
      </c>
      <c r="F106" s="16"/>
      <c r="G106" s="16"/>
      <c r="H106" s="24">
        <f>IFERROR(IF(COUNTIFS($H$1:H105,H105)&gt;=VLOOKUP(H105,$A$2:$D$309,4,0),IF(H105=MAX($A$2:$A$317),"",Lista!H105+1),H105),"")</f>
        <v>105</v>
      </c>
      <c r="I106" s="22" t="str">
        <f t="shared" si="51"/>
        <v>1110-000-905S-RZP000</v>
      </c>
      <c r="J106" s="24">
        <f t="shared" si="52"/>
        <v>0</v>
      </c>
      <c r="K106" s="25">
        <f t="shared" si="46"/>
        <v>0</v>
      </c>
      <c r="L106" s="26">
        <f t="shared" si="47"/>
        <v>0</v>
      </c>
      <c r="M106" s="26">
        <f t="shared" si="36"/>
        <v>0</v>
      </c>
      <c r="N106" s="26" t="str">
        <f t="shared" si="37"/>
        <v>SHO</v>
      </c>
      <c r="O106" s="26" t="str">
        <f t="shared" si="38"/>
        <v>IPT</v>
      </c>
      <c r="P106" s="25" t="str">
        <f t="shared" ca="1" si="39"/>
        <v>ND260415_0</v>
      </c>
      <c r="Q106" s="27" t="str">
        <f t="shared" ca="1" si="48"/>
        <v>2026-04-15</v>
      </c>
      <c r="R106" s="26" t="str">
        <f t="shared" si="49"/>
        <v>PLN</v>
      </c>
      <c r="S106" s="23" t="str">
        <f>IF(H106=1,VLOOKUP(COUNTIF($H$2:H106,H106),Specyfikacja!$A$5:$D$99,2,0),IF(H106=2,VLOOKUP(COUNTIF($H$2:H106,H106),Specyfikacja!$A$5:$K$99,9,0),""))</f>
        <v/>
      </c>
      <c r="T106" s="23" t="str">
        <f>IF(H106=1,VLOOKUP(COUNTIF($H$2:H106,H106),Specyfikacja!$A$5:$D$99,3,0),IF(H106=2,VLOOKUP(COUNTIF($H$2:H106,H106),Specyfikacja!$A$5:$K$99,10,0),""))</f>
        <v/>
      </c>
      <c r="U106" s="23" t="str">
        <f>SUBSTITUTE(SUBSTITUTE(IF(H106=1,VLOOKUP(COUNTIF($H$2:H106,H106),Specyfikacja!$A$5:$D$99,4,0),IF(H106=2,VLOOKUP(COUNTIF($H$2:H106,H106),Specyfikacja!$A$5:$K$99,11,0),"")),"Tak","YES"),"Nie","NO")</f>
        <v/>
      </c>
      <c r="W106" s="646" t="str">
        <f t="shared" ca="1" si="41"/>
        <v>=PODSTAW('ZAMÓWIENIE | WYCENA'!C57;"_";'ZAMÓWIENIE | WYCENA'!$AG57;1)</v>
      </c>
      <c r="X106" s="646">
        <f t="shared" ca="1" si="40"/>
        <v>10</v>
      </c>
      <c r="Y106" s="646">
        <f t="shared" ca="1" si="42"/>
        <v>35</v>
      </c>
      <c r="Z106" s="646" t="str">
        <f t="shared" ca="1" si="43"/>
        <v>'ZAMÓWIENIE | WYCENA'!C57</v>
      </c>
      <c r="AA106" s="647">
        <f t="shared" ca="1" si="50"/>
        <v>5.3</v>
      </c>
      <c r="AB106" s="647">
        <f t="shared" ca="1" si="50"/>
        <v>0</v>
      </c>
      <c r="AC106" s="647">
        <f t="shared" ca="1" si="50"/>
        <v>0</v>
      </c>
      <c r="AD106" s="646" t="str">
        <f t="shared" si="44"/>
        <v>1110-000-905S-RZP000</v>
      </c>
      <c r="AE106" s="648">
        <f t="shared" ca="1" si="45"/>
        <v>5.3</v>
      </c>
    </row>
    <row r="107" spans="1:31" s="7" customFormat="1" ht="12" customHeight="1">
      <c r="A107" s="23">
        <v>106</v>
      </c>
      <c r="B107" s="23" t="str">
        <f>SUBSTITUTE('ZAMÓWIENIE | WYCENA'!C52,"_",'ZAMÓWIENIE | WYCENA'!$AH52,1)</f>
        <v>3320-000-716R-FZA100</v>
      </c>
      <c r="C107" s="15">
        <f>'ZAMÓWIENIE | WYCENA'!H52</f>
        <v>0</v>
      </c>
      <c r="D107" s="14">
        <v>1</v>
      </c>
      <c r="F107" s="16"/>
      <c r="G107" s="16"/>
      <c r="H107" s="24">
        <f>IFERROR(IF(COUNTIFS($H$1:H106,H106)&gt;=VLOOKUP(H106,$A$2:$D$309,4,0),IF(H106=MAX($A$2:$A$317),"",Lista!H106+1),H106),"")</f>
        <v>106</v>
      </c>
      <c r="I107" s="22" t="str">
        <f t="shared" si="51"/>
        <v>3320-000-716R-FZA100</v>
      </c>
      <c r="J107" s="24">
        <f t="shared" si="52"/>
        <v>0</v>
      </c>
      <c r="K107" s="25">
        <f t="shared" si="46"/>
        <v>0</v>
      </c>
      <c r="L107" s="26">
        <f t="shared" si="47"/>
        <v>0</v>
      </c>
      <c r="M107" s="26">
        <f t="shared" si="36"/>
        <v>0</v>
      </c>
      <c r="N107" s="26" t="str">
        <f t="shared" si="37"/>
        <v>SHO</v>
      </c>
      <c r="O107" s="26" t="str">
        <f t="shared" si="38"/>
        <v>IPT</v>
      </c>
      <c r="P107" s="25" t="str">
        <f t="shared" ca="1" si="39"/>
        <v>ND260415_0</v>
      </c>
      <c r="Q107" s="27" t="str">
        <f t="shared" ca="1" si="48"/>
        <v>2026-04-15</v>
      </c>
      <c r="R107" s="26" t="str">
        <f t="shared" si="49"/>
        <v>PLN</v>
      </c>
      <c r="S107" s="23" t="str">
        <f>IF(H107=1,VLOOKUP(COUNTIF($H$2:H107,H107),Specyfikacja!$A$5:$D$99,2,0),IF(H107=2,VLOOKUP(COUNTIF($H$2:H107,H107),Specyfikacja!$A$5:$K$99,9,0),""))</f>
        <v/>
      </c>
      <c r="T107" s="23" t="str">
        <f>IF(H107=1,VLOOKUP(COUNTIF($H$2:H107,H107),Specyfikacja!$A$5:$D$99,3,0),IF(H107=2,VLOOKUP(COUNTIF($H$2:H107,H107),Specyfikacja!$A$5:$K$99,10,0),""))</f>
        <v/>
      </c>
      <c r="U107" s="23" t="str">
        <f>SUBSTITUTE(SUBSTITUTE(IF(H107=1,VLOOKUP(COUNTIF($H$2:H107,H107),Specyfikacja!$A$5:$D$99,4,0),IF(H107=2,VLOOKUP(COUNTIF($H$2:H107,H107),Specyfikacja!$A$5:$K$99,11,0),"")),"Tak","YES"),"Nie","NO")</f>
        <v/>
      </c>
      <c r="W107" s="646" t="str">
        <f t="shared" ca="1" si="41"/>
        <v>=PODSTAW('ZAMÓWIENIE | WYCENA'!C52;"_";'ZAMÓWIENIE | WYCENA'!$AH52;1)</v>
      </c>
      <c r="X107" s="646">
        <f t="shared" ca="1" si="40"/>
        <v>10</v>
      </c>
      <c r="Y107" s="646">
        <f t="shared" ca="1" si="42"/>
        <v>35</v>
      </c>
      <c r="Z107" s="646" t="str">
        <f t="shared" ca="1" si="43"/>
        <v>'ZAMÓWIENIE | WYCENA'!C52</v>
      </c>
      <c r="AA107" s="647">
        <f t="shared" ca="1" si="50"/>
        <v>32</v>
      </c>
      <c r="AB107" s="647">
        <f t="shared" ca="1" si="50"/>
        <v>0</v>
      </c>
      <c r="AC107" s="647">
        <f t="shared" ca="1" si="50"/>
        <v>0</v>
      </c>
      <c r="AD107" s="646" t="str">
        <f t="shared" si="44"/>
        <v>3320-000-716R-FZA100</v>
      </c>
      <c r="AE107" s="648">
        <f t="shared" ca="1" si="45"/>
        <v>32</v>
      </c>
    </row>
    <row r="108" spans="1:31" s="7" customFormat="1" ht="12" customHeight="1">
      <c r="A108" s="23">
        <v>107</v>
      </c>
      <c r="B108" s="23" t="str">
        <f>SUBSTITUTE('ZAMÓWIENIE | WYCENA'!C53,"_",'ZAMÓWIENIE | WYCENA'!$AH53,1)</f>
        <v>3320-035-716U-WTX250</v>
      </c>
      <c r="C108" s="15">
        <f>'ZAMÓWIENIE | WYCENA'!H53</f>
        <v>0</v>
      </c>
      <c r="D108" s="14">
        <v>1</v>
      </c>
      <c r="F108" s="16"/>
      <c r="G108" s="16"/>
      <c r="H108" s="24">
        <f>IFERROR(IF(COUNTIFS($H$1:H107,H107)&gt;=VLOOKUP(H107,$A$2:$D$309,4,0),IF(H107=MAX($A$2:$A$317),"",Lista!H107+1),H107),"")</f>
        <v>107</v>
      </c>
      <c r="I108" s="22" t="str">
        <f t="shared" si="51"/>
        <v>3320-035-716U-WTX250</v>
      </c>
      <c r="J108" s="24">
        <f t="shared" si="52"/>
        <v>0</v>
      </c>
      <c r="K108" s="25">
        <f t="shared" si="46"/>
        <v>0</v>
      </c>
      <c r="L108" s="26">
        <f t="shared" si="47"/>
        <v>0</v>
      </c>
      <c r="M108" s="26">
        <f t="shared" si="36"/>
        <v>0</v>
      </c>
      <c r="N108" s="26" t="str">
        <f t="shared" si="37"/>
        <v>SHO</v>
      </c>
      <c r="O108" s="26" t="str">
        <f t="shared" si="38"/>
        <v>IPT</v>
      </c>
      <c r="P108" s="25" t="str">
        <f t="shared" ca="1" si="39"/>
        <v>ND260415_0</v>
      </c>
      <c r="Q108" s="27" t="str">
        <f t="shared" ca="1" si="48"/>
        <v>2026-04-15</v>
      </c>
      <c r="R108" s="26" t="str">
        <f t="shared" si="49"/>
        <v>PLN</v>
      </c>
      <c r="S108" s="23" t="str">
        <f>IF(H108=1,VLOOKUP(COUNTIF($H$2:H108,H108),Specyfikacja!$A$5:$D$99,2,0),IF(H108=2,VLOOKUP(COUNTIF($H$2:H108,H108),Specyfikacja!$A$5:$K$99,9,0),""))</f>
        <v/>
      </c>
      <c r="T108" s="23" t="str">
        <f>IF(H108=1,VLOOKUP(COUNTIF($H$2:H108,H108),Specyfikacja!$A$5:$D$99,3,0),IF(H108=2,VLOOKUP(COUNTIF($H$2:H108,H108),Specyfikacja!$A$5:$K$99,10,0),""))</f>
        <v/>
      </c>
      <c r="U108" s="23" t="str">
        <f>SUBSTITUTE(SUBSTITUTE(IF(H108=1,VLOOKUP(COUNTIF($H$2:H108,H108),Specyfikacja!$A$5:$D$99,4,0),IF(H108=2,VLOOKUP(COUNTIF($H$2:H108,H108),Specyfikacja!$A$5:$K$99,11,0),"")),"Tak","YES"),"Nie","NO")</f>
        <v/>
      </c>
      <c r="W108" s="646" t="str">
        <f t="shared" ca="1" si="41"/>
        <v>=PODSTAW('ZAMÓWIENIE | WYCENA'!C53;"_";'ZAMÓWIENIE | WYCENA'!$AH53;1)</v>
      </c>
      <c r="X108" s="646">
        <f t="shared" ca="1" si="40"/>
        <v>10</v>
      </c>
      <c r="Y108" s="646">
        <f t="shared" ca="1" si="42"/>
        <v>35</v>
      </c>
      <c r="Z108" s="646" t="str">
        <f t="shared" ca="1" si="43"/>
        <v>'ZAMÓWIENIE | WYCENA'!C53</v>
      </c>
      <c r="AA108" s="647">
        <f t="shared" ca="1" si="50"/>
        <v>101.9</v>
      </c>
      <c r="AB108" s="647">
        <f t="shared" ca="1" si="50"/>
        <v>0</v>
      </c>
      <c r="AC108" s="647">
        <f t="shared" ca="1" si="50"/>
        <v>0</v>
      </c>
      <c r="AD108" s="646" t="str">
        <f t="shared" si="44"/>
        <v>3320-035-716U-WTX250</v>
      </c>
      <c r="AE108" s="648">
        <f t="shared" ca="1" si="45"/>
        <v>101.9</v>
      </c>
    </row>
    <row r="109" spans="1:31" s="7" customFormat="1" ht="12" customHeight="1">
      <c r="A109" s="23">
        <v>108</v>
      </c>
      <c r="B109" s="23" t="str">
        <f>SUBSTITUTE('ZAMÓWIENIE | WYCENA'!C54,"_",'ZAMÓWIENIE | WYCENA'!$AH54,1)</f>
        <v>3320-020-716U-WTZ250</v>
      </c>
      <c r="C109" s="15">
        <f>'ZAMÓWIENIE | WYCENA'!H54</f>
        <v>0</v>
      </c>
      <c r="D109" s="14">
        <v>1</v>
      </c>
      <c r="F109" s="16"/>
      <c r="G109" s="16"/>
      <c r="H109" s="24">
        <f>IFERROR(IF(COUNTIFS($H$1:H108,H108)&gt;=VLOOKUP(H108,$A$2:$D$309,4,0),IF(H108=MAX($A$2:$A$317),"",Lista!H108+1),H108),"")</f>
        <v>108</v>
      </c>
      <c r="I109" s="22" t="str">
        <f t="shared" si="51"/>
        <v>3320-020-716U-WTZ250</v>
      </c>
      <c r="J109" s="24">
        <f t="shared" si="52"/>
        <v>0</v>
      </c>
      <c r="K109" s="25">
        <f t="shared" si="46"/>
        <v>0</v>
      </c>
      <c r="L109" s="26">
        <f t="shared" si="47"/>
        <v>0</v>
      </c>
      <c r="M109" s="26">
        <f t="shared" si="36"/>
        <v>0</v>
      </c>
      <c r="N109" s="26" t="str">
        <f t="shared" si="37"/>
        <v>SHO</v>
      </c>
      <c r="O109" s="26" t="str">
        <f t="shared" si="38"/>
        <v>IPT</v>
      </c>
      <c r="P109" s="25" t="str">
        <f t="shared" ca="1" si="39"/>
        <v>ND260415_0</v>
      </c>
      <c r="Q109" s="27" t="str">
        <f t="shared" ca="1" si="48"/>
        <v>2026-04-15</v>
      </c>
      <c r="R109" s="26" t="str">
        <f t="shared" si="49"/>
        <v>PLN</v>
      </c>
      <c r="S109" s="23" t="str">
        <f>IF(H109=1,VLOOKUP(COUNTIF($H$2:H109,H109),Specyfikacja!$A$5:$D$99,2,0),IF(H109=2,VLOOKUP(COUNTIF($H$2:H109,H109),Specyfikacja!$A$5:$K$99,9,0),""))</f>
        <v/>
      </c>
      <c r="T109" s="23" t="str">
        <f>IF(H109=1,VLOOKUP(COUNTIF($H$2:H109,H109),Specyfikacja!$A$5:$D$99,3,0),IF(H109=2,VLOOKUP(COUNTIF($H$2:H109,H109),Specyfikacja!$A$5:$K$99,10,0),""))</f>
        <v/>
      </c>
      <c r="U109" s="23" t="str">
        <f>SUBSTITUTE(SUBSTITUTE(IF(H109=1,VLOOKUP(COUNTIF($H$2:H109,H109),Specyfikacja!$A$5:$D$99,4,0),IF(H109=2,VLOOKUP(COUNTIF($H$2:H109,H109),Specyfikacja!$A$5:$K$99,11,0),"")),"Tak","YES"),"Nie","NO")</f>
        <v/>
      </c>
      <c r="W109" s="646" t="str">
        <f t="shared" ca="1" si="41"/>
        <v>=PODSTAW('ZAMÓWIENIE | WYCENA'!C54;"_";'ZAMÓWIENIE | WYCENA'!$AH54;1)</v>
      </c>
      <c r="X109" s="646">
        <f t="shared" ca="1" si="40"/>
        <v>10</v>
      </c>
      <c r="Y109" s="646">
        <f t="shared" ca="1" si="42"/>
        <v>35</v>
      </c>
      <c r="Z109" s="646" t="str">
        <f t="shared" ca="1" si="43"/>
        <v>'ZAMÓWIENIE | WYCENA'!C54</v>
      </c>
      <c r="AA109" s="647">
        <f t="shared" ca="1" si="50"/>
        <v>101.9</v>
      </c>
      <c r="AB109" s="647">
        <f t="shared" ca="1" si="50"/>
        <v>0</v>
      </c>
      <c r="AC109" s="647">
        <f t="shared" ca="1" si="50"/>
        <v>0</v>
      </c>
      <c r="AD109" s="646" t="str">
        <f t="shared" si="44"/>
        <v>3320-020-716U-WTZ250</v>
      </c>
      <c r="AE109" s="648">
        <f t="shared" ca="1" si="45"/>
        <v>101.9</v>
      </c>
    </row>
    <row r="110" spans="1:31" s="7" customFormat="1" ht="12" customHeight="1">
      <c r="A110" s="23">
        <v>109</v>
      </c>
      <c r="B110" s="23" t="str">
        <f>SUBSTITUTE('ZAMÓWIENIE | WYCENA'!C55,"_",'ZAMÓWIENIE | WYCENA'!$AH55,1)</f>
        <v>3320-035-716U-WFR250</v>
      </c>
      <c r="C110" s="15">
        <f>'ZAMÓWIENIE | WYCENA'!H55</f>
        <v>0</v>
      </c>
      <c r="D110" s="14">
        <v>1</v>
      </c>
      <c r="F110" s="16"/>
      <c r="G110" s="16"/>
      <c r="H110" s="24">
        <f>IFERROR(IF(COUNTIFS($H$1:H109,H109)&gt;=VLOOKUP(H109,$A$2:$D$309,4,0),IF(H109=MAX($A$2:$A$317),"",Lista!H109+1),H109),"")</f>
        <v>109</v>
      </c>
      <c r="I110" s="22" t="str">
        <f t="shared" si="51"/>
        <v>3320-035-716U-WFR250</v>
      </c>
      <c r="J110" s="24">
        <f t="shared" si="52"/>
        <v>0</v>
      </c>
      <c r="K110" s="25">
        <f t="shared" si="46"/>
        <v>0</v>
      </c>
      <c r="L110" s="26">
        <f t="shared" si="47"/>
        <v>0</v>
      </c>
      <c r="M110" s="26">
        <f t="shared" si="36"/>
        <v>0</v>
      </c>
      <c r="N110" s="26" t="str">
        <f t="shared" si="37"/>
        <v>SHO</v>
      </c>
      <c r="O110" s="26" t="str">
        <f t="shared" si="38"/>
        <v>IPT</v>
      </c>
      <c r="P110" s="25" t="str">
        <f t="shared" ca="1" si="39"/>
        <v>ND260415_0</v>
      </c>
      <c r="Q110" s="27" t="str">
        <f t="shared" ca="1" si="48"/>
        <v>2026-04-15</v>
      </c>
      <c r="R110" s="26" t="str">
        <f t="shared" si="49"/>
        <v>PLN</v>
      </c>
      <c r="S110" s="23" t="str">
        <f>IF(H110=1,VLOOKUP(COUNTIF($H$2:H110,H110),Specyfikacja!$A$5:$D$99,2,0),IF(H110=2,VLOOKUP(COUNTIF($H$2:H110,H110),Specyfikacja!$A$5:$K$99,9,0),""))</f>
        <v/>
      </c>
      <c r="T110" s="23" t="str">
        <f>IF(H110=1,VLOOKUP(COUNTIF($H$2:H110,H110),Specyfikacja!$A$5:$D$99,3,0),IF(H110=2,VLOOKUP(COUNTIF($H$2:H110,H110),Specyfikacja!$A$5:$K$99,10,0),""))</f>
        <v/>
      </c>
      <c r="U110" s="23" t="str">
        <f>SUBSTITUTE(SUBSTITUTE(IF(H110=1,VLOOKUP(COUNTIF($H$2:H110,H110),Specyfikacja!$A$5:$D$99,4,0),IF(H110=2,VLOOKUP(COUNTIF($H$2:H110,H110),Specyfikacja!$A$5:$K$99,11,0),"")),"Tak","YES"),"Nie","NO")</f>
        <v/>
      </c>
      <c r="W110" s="646" t="str">
        <f t="shared" ca="1" si="41"/>
        <v>=PODSTAW('ZAMÓWIENIE | WYCENA'!C55;"_";'ZAMÓWIENIE | WYCENA'!$AH55;1)</v>
      </c>
      <c r="X110" s="646">
        <f t="shared" ca="1" si="40"/>
        <v>10</v>
      </c>
      <c r="Y110" s="646">
        <f t="shared" ca="1" si="42"/>
        <v>35</v>
      </c>
      <c r="Z110" s="646" t="str">
        <f t="shared" ca="1" si="43"/>
        <v>'ZAMÓWIENIE | WYCENA'!C55</v>
      </c>
      <c r="AA110" s="647">
        <f t="shared" ca="1" si="50"/>
        <v>55.7</v>
      </c>
      <c r="AB110" s="647">
        <f t="shared" ca="1" si="50"/>
        <v>0</v>
      </c>
      <c r="AC110" s="647">
        <f t="shared" ca="1" si="50"/>
        <v>0</v>
      </c>
      <c r="AD110" s="646" t="str">
        <f t="shared" si="44"/>
        <v>3320-035-716U-WFR250</v>
      </c>
      <c r="AE110" s="648">
        <f t="shared" ca="1" si="45"/>
        <v>55.7</v>
      </c>
    </row>
    <row r="111" spans="1:31" s="8" customFormat="1" ht="14.45" customHeight="1">
      <c r="A111" s="23">
        <v>110</v>
      </c>
      <c r="B111" s="23" t="str">
        <f>SUBSTITUTE('ZAMÓWIENIE | WYCENA'!C56,"_",'ZAMÓWIENIE | WYCENA'!$AH56,1)</f>
        <v>1110-000-716S-RZL000</v>
      </c>
      <c r="C111" s="15">
        <f>'ZAMÓWIENIE | WYCENA'!H56</f>
        <v>0</v>
      </c>
      <c r="D111" s="14">
        <v>1</v>
      </c>
      <c r="E111" s="7"/>
      <c r="F111" s="13"/>
      <c r="G111" s="13"/>
      <c r="H111" s="24">
        <f>IFERROR(IF(COUNTIFS($H$1:H110,H110)&gt;=VLOOKUP(H110,$A$2:$D$309,4,0),IF(H110=MAX($A$2:$A$317),"",Lista!H110+1),H110),"")</f>
        <v>110</v>
      </c>
      <c r="I111" s="22" t="str">
        <f t="shared" si="51"/>
        <v>1110-000-716S-RZL000</v>
      </c>
      <c r="J111" s="24">
        <f t="shared" si="52"/>
        <v>0</v>
      </c>
      <c r="K111" s="25">
        <f t="shared" si="46"/>
        <v>0</v>
      </c>
      <c r="L111" s="26">
        <f t="shared" si="47"/>
        <v>0</v>
      </c>
      <c r="M111" s="26">
        <f t="shared" si="36"/>
        <v>0</v>
      </c>
      <c r="N111" s="26" t="str">
        <f t="shared" si="37"/>
        <v>SHO</v>
      </c>
      <c r="O111" s="26" t="str">
        <f t="shared" si="38"/>
        <v>IPT</v>
      </c>
      <c r="P111" s="25" t="str">
        <f t="shared" ca="1" si="39"/>
        <v>ND260415_0</v>
      </c>
      <c r="Q111" s="27" t="str">
        <f t="shared" ca="1" si="48"/>
        <v>2026-04-15</v>
      </c>
      <c r="R111" s="26" t="str">
        <f t="shared" si="49"/>
        <v>PLN</v>
      </c>
      <c r="S111" s="23" t="str">
        <f>IF(H111=1,VLOOKUP(COUNTIF($H$2:H111,H111),Specyfikacja!$A$5:$D$99,2,0),IF(H111=2,VLOOKUP(COUNTIF($H$2:H111,H111),Specyfikacja!$A$5:$K$99,9,0),""))</f>
        <v/>
      </c>
      <c r="T111" s="23" t="str">
        <f>IF(H111=1,VLOOKUP(COUNTIF($H$2:H111,H111),Specyfikacja!$A$5:$D$99,3,0),IF(H111=2,VLOOKUP(COUNTIF($H$2:H111,H111),Specyfikacja!$A$5:$K$99,10,0),""))</f>
        <v/>
      </c>
      <c r="U111" s="23" t="str">
        <f>SUBSTITUTE(SUBSTITUTE(IF(H111=1,VLOOKUP(COUNTIF($H$2:H111,H111),Specyfikacja!$A$5:$D$99,4,0),IF(H111=2,VLOOKUP(COUNTIF($H$2:H111,H111),Specyfikacja!$A$5:$K$99,11,0),"")),"Tak","YES"),"Nie","NO")</f>
        <v/>
      </c>
      <c r="W111" s="646" t="str">
        <f t="shared" ca="1" si="41"/>
        <v>=PODSTAW('ZAMÓWIENIE | WYCENA'!C56;"_";'ZAMÓWIENIE | WYCENA'!$AH56;1)</v>
      </c>
      <c r="X111" s="646">
        <f t="shared" ca="1" si="40"/>
        <v>10</v>
      </c>
      <c r="Y111" s="646">
        <f t="shared" ca="1" si="42"/>
        <v>35</v>
      </c>
      <c r="Z111" s="646" t="str">
        <f t="shared" ca="1" si="43"/>
        <v>'ZAMÓWIENIE | WYCENA'!C56</v>
      </c>
      <c r="AA111" s="647">
        <f t="shared" ca="1" si="50"/>
        <v>5.3</v>
      </c>
      <c r="AB111" s="647">
        <f t="shared" ca="1" si="50"/>
        <v>0</v>
      </c>
      <c r="AC111" s="647">
        <f t="shared" ca="1" si="50"/>
        <v>0</v>
      </c>
      <c r="AD111" s="646" t="str">
        <f t="shared" si="44"/>
        <v>1110-000-716S-RZL000</v>
      </c>
      <c r="AE111" s="648">
        <f t="shared" ca="1" si="45"/>
        <v>5.3</v>
      </c>
    </row>
    <row r="112" spans="1:31" s="8" customFormat="1" ht="13.15" customHeight="1">
      <c r="A112" s="23">
        <v>111</v>
      </c>
      <c r="B112" s="23" t="str">
        <f>SUBSTITUTE('ZAMÓWIENIE | WYCENA'!C57,"_",'ZAMÓWIENIE | WYCENA'!$AH57,1)</f>
        <v>1110-000-716S-RZP000</v>
      </c>
      <c r="C112" s="15">
        <f>'ZAMÓWIENIE | WYCENA'!H57</f>
        <v>0</v>
      </c>
      <c r="D112" s="14">
        <v>1</v>
      </c>
      <c r="E112" s="7"/>
      <c r="F112" s="13"/>
      <c r="G112" s="13"/>
      <c r="H112" s="24">
        <f>IFERROR(IF(COUNTIFS($H$1:H111,H111)&gt;=VLOOKUP(H111,$A$2:$D$309,4,0),IF(H111=MAX($A$2:$A$317),"",Lista!H111+1),H111),"")</f>
        <v>111</v>
      </c>
      <c r="I112" s="22" t="str">
        <f t="shared" si="51"/>
        <v>1110-000-716S-RZP000</v>
      </c>
      <c r="J112" s="24">
        <f t="shared" si="52"/>
        <v>0</v>
      </c>
      <c r="K112" s="25">
        <f t="shared" si="46"/>
        <v>0</v>
      </c>
      <c r="L112" s="26">
        <f t="shared" si="47"/>
        <v>0</v>
      </c>
      <c r="M112" s="26">
        <f t="shared" si="36"/>
        <v>0</v>
      </c>
      <c r="N112" s="26" t="str">
        <f t="shared" si="37"/>
        <v>SHO</v>
      </c>
      <c r="O112" s="26" t="str">
        <f t="shared" si="38"/>
        <v>IPT</v>
      </c>
      <c r="P112" s="25" t="str">
        <f t="shared" ca="1" si="39"/>
        <v>ND260415_0</v>
      </c>
      <c r="Q112" s="27" t="str">
        <f t="shared" ca="1" si="48"/>
        <v>2026-04-15</v>
      </c>
      <c r="R112" s="26" t="str">
        <f t="shared" si="49"/>
        <v>PLN</v>
      </c>
      <c r="S112" s="23" t="str">
        <f>IF(H112=1,VLOOKUP(COUNTIF($H$2:H112,H112),Specyfikacja!$A$5:$D$99,2,0),IF(H112=2,VLOOKUP(COUNTIF($H$2:H112,H112),Specyfikacja!$A$5:$K$99,9,0),""))</f>
        <v/>
      </c>
      <c r="T112" s="23" t="str">
        <f>IF(H112=1,VLOOKUP(COUNTIF($H$2:H112,H112),Specyfikacja!$A$5:$D$99,3,0),IF(H112=2,VLOOKUP(COUNTIF($H$2:H112,H112),Specyfikacja!$A$5:$K$99,10,0),""))</f>
        <v/>
      </c>
      <c r="U112" s="23" t="str">
        <f>SUBSTITUTE(SUBSTITUTE(IF(H112=1,VLOOKUP(COUNTIF($H$2:H112,H112),Specyfikacja!$A$5:$D$99,4,0),IF(H112=2,VLOOKUP(COUNTIF($H$2:H112,H112),Specyfikacja!$A$5:$K$99,11,0),"")),"Tak","YES"),"Nie","NO")</f>
        <v/>
      </c>
      <c r="W112" s="646" t="str">
        <f t="shared" ca="1" si="41"/>
        <v>=PODSTAW('ZAMÓWIENIE | WYCENA'!C57;"_";'ZAMÓWIENIE | WYCENA'!$AH57;1)</v>
      </c>
      <c r="X112" s="646">
        <f t="shared" ca="1" si="40"/>
        <v>10</v>
      </c>
      <c r="Y112" s="646">
        <f t="shared" ca="1" si="42"/>
        <v>35</v>
      </c>
      <c r="Z112" s="646" t="str">
        <f t="shared" ca="1" si="43"/>
        <v>'ZAMÓWIENIE | WYCENA'!C57</v>
      </c>
      <c r="AA112" s="647">
        <f t="shared" ca="1" si="50"/>
        <v>5.3</v>
      </c>
      <c r="AB112" s="647">
        <f t="shared" ca="1" si="50"/>
        <v>0</v>
      </c>
      <c r="AC112" s="647">
        <f t="shared" ca="1" si="50"/>
        <v>0</v>
      </c>
      <c r="AD112" s="646" t="str">
        <f t="shared" si="44"/>
        <v>1110-000-716S-RZP000</v>
      </c>
      <c r="AE112" s="648">
        <f t="shared" ca="1" si="45"/>
        <v>5.3</v>
      </c>
    </row>
    <row r="113" spans="1:31" s="7" customFormat="1" ht="12">
      <c r="A113" s="23">
        <v>112</v>
      </c>
      <c r="B113" s="23" t="str">
        <f>SUBSTITUTE('ZAMÓWIENIE | WYCENA'!C52,"_",'ZAMÓWIENIE | WYCENA'!$AI52,1)</f>
        <v>3320-000-905M-FZA100</v>
      </c>
      <c r="C113" s="15">
        <f>'ZAMÓWIENIE | WYCENA'!I52</f>
        <v>0</v>
      </c>
      <c r="D113" s="14">
        <v>1</v>
      </c>
      <c r="E113" s="13"/>
      <c r="F113" s="13"/>
      <c r="G113" s="13"/>
      <c r="H113" s="24">
        <f>IFERROR(IF(COUNTIFS($H$1:H112,H112)&gt;=VLOOKUP(H112,$A$2:$D$309,4,0),IF(H112=MAX($A$2:$A$317),"",Lista!H112+1),H112),"")</f>
        <v>112</v>
      </c>
      <c r="I113" s="22" t="str">
        <f t="shared" si="51"/>
        <v>3320-000-905M-FZA100</v>
      </c>
      <c r="J113" s="24">
        <f t="shared" si="52"/>
        <v>0</v>
      </c>
      <c r="K113" s="25">
        <f t="shared" si="46"/>
        <v>0</v>
      </c>
      <c r="L113" s="26">
        <f t="shared" si="47"/>
        <v>0</v>
      </c>
      <c r="M113" s="26">
        <f t="shared" si="36"/>
        <v>0</v>
      </c>
      <c r="N113" s="26" t="str">
        <f t="shared" si="37"/>
        <v>SHO</v>
      </c>
      <c r="O113" s="26" t="str">
        <f t="shared" si="38"/>
        <v>IPT</v>
      </c>
      <c r="P113" s="25" t="str">
        <f t="shared" ca="1" si="39"/>
        <v>ND260415_0</v>
      </c>
      <c r="Q113" s="27" t="str">
        <f t="shared" ca="1" si="48"/>
        <v>2026-04-15</v>
      </c>
      <c r="R113" s="26" t="str">
        <f t="shared" si="49"/>
        <v>PLN</v>
      </c>
      <c r="S113" s="23" t="str">
        <f>IF(H113=1,VLOOKUP(COUNTIF($H$2:H113,H113),Specyfikacja!$A$5:$D$99,2,0),IF(H113=2,VLOOKUP(COUNTIF($H$2:H113,H113),Specyfikacja!$A$5:$K$99,9,0),""))</f>
        <v/>
      </c>
      <c r="T113" s="23" t="str">
        <f>IF(H113=1,VLOOKUP(COUNTIF($H$2:H113,H113),Specyfikacja!$A$5:$D$99,3,0),IF(H113=2,VLOOKUP(COUNTIF($H$2:H113,H113),Specyfikacja!$A$5:$K$99,10,0),""))</f>
        <v/>
      </c>
      <c r="U113" s="23" t="str">
        <f>SUBSTITUTE(SUBSTITUTE(IF(H113=1,VLOOKUP(COUNTIF($H$2:H113,H113),Specyfikacja!$A$5:$D$99,4,0),IF(H113=2,VLOOKUP(COUNTIF($H$2:H113,H113),Specyfikacja!$A$5:$K$99,11,0),"")),"Tak","YES"),"Nie","NO")</f>
        <v/>
      </c>
      <c r="W113" s="646" t="str">
        <f t="shared" ca="1" si="41"/>
        <v>=PODSTAW('ZAMÓWIENIE | WYCENA'!C52;"_";'ZAMÓWIENIE | WYCENA'!$AI52;1)</v>
      </c>
      <c r="X113" s="646">
        <f t="shared" ca="1" si="40"/>
        <v>10</v>
      </c>
      <c r="Y113" s="646">
        <f t="shared" ca="1" si="42"/>
        <v>35</v>
      </c>
      <c r="Z113" s="646" t="str">
        <f t="shared" ca="1" si="43"/>
        <v>'ZAMÓWIENIE | WYCENA'!C52</v>
      </c>
      <c r="AA113" s="647">
        <f t="shared" ca="1" si="50"/>
        <v>32</v>
      </c>
      <c r="AB113" s="647">
        <f t="shared" ca="1" si="50"/>
        <v>0</v>
      </c>
      <c r="AC113" s="647">
        <f t="shared" ca="1" si="50"/>
        <v>0</v>
      </c>
      <c r="AD113" s="646" t="str">
        <f t="shared" si="44"/>
        <v>3320-000-905M-FZA100</v>
      </c>
      <c r="AE113" s="648">
        <f t="shared" ca="1" si="45"/>
        <v>32</v>
      </c>
    </row>
    <row r="114" spans="1:31" s="7" customFormat="1" ht="12">
      <c r="A114" s="23">
        <v>113</v>
      </c>
      <c r="B114" s="23" t="str">
        <f>SUBSTITUTE('ZAMÓWIENIE | WYCENA'!C53,"_",'ZAMÓWIENIE | WYCENA'!$AI53,1)</f>
        <v>3320-035-905P-WTX250</v>
      </c>
      <c r="C114" s="15">
        <f>'ZAMÓWIENIE | WYCENA'!I53</f>
        <v>0</v>
      </c>
      <c r="D114" s="14">
        <v>1</v>
      </c>
      <c r="E114" s="13"/>
      <c r="F114" s="13"/>
      <c r="G114" s="13"/>
      <c r="H114" s="24">
        <f>IFERROR(IF(COUNTIFS($H$1:H113,H113)&gt;=VLOOKUP(H113,$A$2:$D$309,4,0),IF(H113=MAX($A$2:$A$317),"",Lista!H113+1),H113),"")</f>
        <v>113</v>
      </c>
      <c r="I114" s="22" t="str">
        <f t="shared" si="51"/>
        <v>3320-035-905P-WTX250</v>
      </c>
      <c r="J114" s="24">
        <f t="shared" si="52"/>
        <v>0</v>
      </c>
      <c r="K114" s="25">
        <f t="shared" si="46"/>
        <v>0</v>
      </c>
      <c r="L114" s="26">
        <f t="shared" si="47"/>
        <v>0</v>
      </c>
      <c r="M114" s="26">
        <f t="shared" si="36"/>
        <v>0</v>
      </c>
      <c r="N114" s="26" t="str">
        <f t="shared" si="37"/>
        <v>SHO</v>
      </c>
      <c r="O114" s="26" t="str">
        <f t="shared" si="38"/>
        <v>IPT</v>
      </c>
      <c r="P114" s="25" t="str">
        <f t="shared" ca="1" si="39"/>
        <v>ND260415_0</v>
      </c>
      <c r="Q114" s="27" t="str">
        <f t="shared" ca="1" si="48"/>
        <v>2026-04-15</v>
      </c>
      <c r="R114" s="26" t="str">
        <f t="shared" si="49"/>
        <v>PLN</v>
      </c>
      <c r="S114" s="23" t="str">
        <f>IF(H114=1,VLOOKUP(COUNTIF($H$2:H114,H114),Specyfikacja!$A$5:$D$99,2,0),IF(H114=2,VLOOKUP(COUNTIF($H$2:H114,H114),Specyfikacja!$A$5:$K$99,9,0),""))</f>
        <v/>
      </c>
      <c r="T114" s="23" t="str">
        <f>IF(H114=1,VLOOKUP(COUNTIF($H$2:H114,H114),Specyfikacja!$A$5:$D$99,3,0),IF(H114=2,VLOOKUP(COUNTIF($H$2:H114,H114),Specyfikacja!$A$5:$K$99,10,0),""))</f>
        <v/>
      </c>
      <c r="U114" s="23" t="str">
        <f>SUBSTITUTE(SUBSTITUTE(IF(H114=1,VLOOKUP(COUNTIF($H$2:H114,H114),Specyfikacja!$A$5:$D$99,4,0),IF(H114=2,VLOOKUP(COUNTIF($H$2:H114,H114),Specyfikacja!$A$5:$K$99,11,0),"")),"Tak","YES"),"Nie","NO")</f>
        <v/>
      </c>
      <c r="W114" s="646" t="str">
        <f t="shared" ca="1" si="41"/>
        <v>=PODSTAW('ZAMÓWIENIE | WYCENA'!C53;"_";'ZAMÓWIENIE | WYCENA'!$AI53;1)</v>
      </c>
      <c r="X114" s="646">
        <f t="shared" ca="1" si="40"/>
        <v>10</v>
      </c>
      <c r="Y114" s="646">
        <f t="shared" ca="1" si="42"/>
        <v>35</v>
      </c>
      <c r="Z114" s="646" t="str">
        <f t="shared" ca="1" si="43"/>
        <v>'ZAMÓWIENIE | WYCENA'!C53</v>
      </c>
      <c r="AA114" s="647">
        <f t="shared" ca="1" si="50"/>
        <v>101.9</v>
      </c>
      <c r="AB114" s="647">
        <f t="shared" ca="1" si="50"/>
        <v>0</v>
      </c>
      <c r="AC114" s="647">
        <f t="shared" ca="1" si="50"/>
        <v>0</v>
      </c>
      <c r="AD114" s="646" t="str">
        <f t="shared" si="44"/>
        <v>3320-035-905P-WTX250</v>
      </c>
      <c r="AE114" s="648">
        <f t="shared" ca="1" si="45"/>
        <v>101.9</v>
      </c>
    </row>
    <row r="115" spans="1:31" s="7" customFormat="1" ht="12">
      <c r="A115" s="23">
        <v>114</v>
      </c>
      <c r="B115" s="23" t="str">
        <f>SUBSTITUTE('ZAMÓWIENIE | WYCENA'!C54,"_",'ZAMÓWIENIE | WYCENA'!$AI54,1)</f>
        <v>3320-020-905P-WTZ250</v>
      </c>
      <c r="C115" s="15">
        <f>'ZAMÓWIENIE | WYCENA'!I54</f>
        <v>0</v>
      </c>
      <c r="D115" s="14">
        <v>1</v>
      </c>
      <c r="E115" s="13"/>
      <c r="F115" s="13"/>
      <c r="G115" s="13"/>
      <c r="H115" s="24">
        <f>IFERROR(IF(COUNTIFS($H$1:H114,H114)&gt;=VLOOKUP(H114,$A$2:$D$309,4,0),IF(H114=MAX($A$2:$A$317),"",Lista!H114+1),H114),"")</f>
        <v>114</v>
      </c>
      <c r="I115" s="22" t="str">
        <f t="shared" si="51"/>
        <v>3320-020-905P-WTZ250</v>
      </c>
      <c r="J115" s="24">
        <f t="shared" si="52"/>
        <v>0</v>
      </c>
      <c r="K115" s="25">
        <f t="shared" si="46"/>
        <v>0</v>
      </c>
      <c r="L115" s="26">
        <f t="shared" si="47"/>
        <v>0</v>
      </c>
      <c r="M115" s="26">
        <f t="shared" si="36"/>
        <v>0</v>
      </c>
      <c r="N115" s="26" t="str">
        <f t="shared" si="37"/>
        <v>SHO</v>
      </c>
      <c r="O115" s="26" t="str">
        <f t="shared" si="38"/>
        <v>IPT</v>
      </c>
      <c r="P115" s="25" t="str">
        <f t="shared" ca="1" si="39"/>
        <v>ND260415_0</v>
      </c>
      <c r="Q115" s="27" t="str">
        <f t="shared" ca="1" si="48"/>
        <v>2026-04-15</v>
      </c>
      <c r="R115" s="26" t="str">
        <f t="shared" si="49"/>
        <v>PLN</v>
      </c>
      <c r="S115" s="23" t="str">
        <f>IF(H115=1,VLOOKUP(COUNTIF($H$2:H115,H115),Specyfikacja!$A$5:$D$99,2,0),IF(H115=2,VLOOKUP(COUNTIF($H$2:H115,H115),Specyfikacja!$A$5:$K$99,9,0),""))</f>
        <v/>
      </c>
      <c r="T115" s="23" t="str">
        <f>IF(H115=1,VLOOKUP(COUNTIF($H$2:H115,H115),Specyfikacja!$A$5:$D$99,3,0),IF(H115=2,VLOOKUP(COUNTIF($H$2:H115,H115),Specyfikacja!$A$5:$K$99,10,0),""))</f>
        <v/>
      </c>
      <c r="U115" s="23" t="str">
        <f>SUBSTITUTE(SUBSTITUTE(IF(H115=1,VLOOKUP(COUNTIF($H$2:H115,H115),Specyfikacja!$A$5:$D$99,4,0),IF(H115=2,VLOOKUP(COUNTIF($H$2:H115,H115),Specyfikacja!$A$5:$K$99,11,0),"")),"Tak","YES"),"Nie","NO")</f>
        <v/>
      </c>
      <c r="W115" s="646" t="str">
        <f t="shared" ca="1" si="41"/>
        <v>=PODSTAW('ZAMÓWIENIE | WYCENA'!C54;"_";'ZAMÓWIENIE | WYCENA'!$AI54;1)</v>
      </c>
      <c r="X115" s="646">
        <f t="shared" ca="1" si="40"/>
        <v>10</v>
      </c>
      <c r="Y115" s="646">
        <f t="shared" ca="1" si="42"/>
        <v>35</v>
      </c>
      <c r="Z115" s="646" t="str">
        <f t="shared" ca="1" si="43"/>
        <v>'ZAMÓWIENIE | WYCENA'!C54</v>
      </c>
      <c r="AA115" s="647">
        <f t="shared" ca="1" si="50"/>
        <v>101.9</v>
      </c>
      <c r="AB115" s="647">
        <f t="shared" ca="1" si="50"/>
        <v>0</v>
      </c>
      <c r="AC115" s="647">
        <f t="shared" ca="1" si="50"/>
        <v>0</v>
      </c>
      <c r="AD115" s="646" t="str">
        <f t="shared" si="44"/>
        <v>3320-020-905P-WTZ250</v>
      </c>
      <c r="AE115" s="648">
        <f t="shared" ca="1" si="45"/>
        <v>101.9</v>
      </c>
    </row>
    <row r="116" spans="1:31" s="7" customFormat="1" ht="12">
      <c r="A116" s="23">
        <v>115</v>
      </c>
      <c r="B116" s="23" t="str">
        <f>SUBSTITUTE('ZAMÓWIENIE | WYCENA'!C55,"_",'ZAMÓWIENIE | WYCENA'!$AI55,1)</f>
        <v>3320-035-905P-WFR250</v>
      </c>
      <c r="C116" s="15">
        <f>'ZAMÓWIENIE | WYCENA'!I55</f>
        <v>0</v>
      </c>
      <c r="D116" s="14">
        <v>1</v>
      </c>
      <c r="E116" s="13"/>
      <c r="F116" s="13"/>
      <c r="G116" s="13"/>
      <c r="H116" s="24">
        <f>IFERROR(IF(COUNTIFS($H$1:H115,H115)&gt;=VLOOKUP(H115,$A$2:$D$309,4,0),IF(H115=MAX($A$2:$A$317),"",Lista!H115+1),H115),"")</f>
        <v>115</v>
      </c>
      <c r="I116" s="22" t="str">
        <f t="shared" si="51"/>
        <v>3320-035-905P-WFR250</v>
      </c>
      <c r="J116" s="24">
        <f t="shared" si="52"/>
        <v>0</v>
      </c>
      <c r="K116" s="25">
        <f t="shared" si="46"/>
        <v>0</v>
      </c>
      <c r="L116" s="26">
        <f t="shared" si="47"/>
        <v>0</v>
      </c>
      <c r="M116" s="26">
        <f t="shared" si="36"/>
        <v>0</v>
      </c>
      <c r="N116" s="26" t="str">
        <f t="shared" si="37"/>
        <v>SHO</v>
      </c>
      <c r="O116" s="26" t="str">
        <f t="shared" si="38"/>
        <v>IPT</v>
      </c>
      <c r="P116" s="25" t="str">
        <f t="shared" ca="1" si="39"/>
        <v>ND260415_0</v>
      </c>
      <c r="Q116" s="27" t="str">
        <f t="shared" ca="1" si="48"/>
        <v>2026-04-15</v>
      </c>
      <c r="R116" s="26" t="str">
        <f t="shared" si="49"/>
        <v>PLN</v>
      </c>
      <c r="S116" s="23" t="str">
        <f>IF(H116=1,VLOOKUP(COUNTIF($H$2:H116,H116),Specyfikacja!$A$5:$D$99,2,0),IF(H116=2,VLOOKUP(COUNTIF($H$2:H116,H116),Specyfikacja!$A$5:$K$99,9,0),""))</f>
        <v/>
      </c>
      <c r="T116" s="23" t="str">
        <f>IF(H116=1,VLOOKUP(COUNTIF($H$2:H116,H116),Specyfikacja!$A$5:$D$99,3,0),IF(H116=2,VLOOKUP(COUNTIF($H$2:H116,H116),Specyfikacja!$A$5:$K$99,10,0),""))</f>
        <v/>
      </c>
      <c r="U116" s="23" t="str">
        <f>SUBSTITUTE(SUBSTITUTE(IF(H116=1,VLOOKUP(COUNTIF($H$2:H116,H116),Specyfikacja!$A$5:$D$99,4,0),IF(H116=2,VLOOKUP(COUNTIF($H$2:H116,H116),Specyfikacja!$A$5:$K$99,11,0),"")),"Tak","YES"),"Nie","NO")</f>
        <v/>
      </c>
      <c r="W116" s="646" t="str">
        <f t="shared" ref="W116:W179" ca="1" si="53">_xlfn.FORMULATEXT(B116)</f>
        <v>=PODSTAW('ZAMÓWIENIE | WYCENA'!C55;"_";'ZAMÓWIENIE | WYCENA'!$AI55;1)</v>
      </c>
      <c r="X116" s="646">
        <f t="shared" ca="1" si="40"/>
        <v>10</v>
      </c>
      <c r="Y116" s="646">
        <f t="shared" ref="Y116:Y178" ca="1" si="54">FIND(";",W116)</f>
        <v>35</v>
      </c>
      <c r="Z116" s="646" t="str">
        <f t="shared" ref="Z116:Z178" ca="1" si="55">MID(W116,X116,Y116-X116)</f>
        <v>'ZAMÓWIENIE | WYCENA'!C55</v>
      </c>
      <c r="AA116" s="647">
        <f t="shared" ca="1" si="50"/>
        <v>55.7</v>
      </c>
      <c r="AB116" s="647">
        <f t="shared" ca="1" si="50"/>
        <v>0</v>
      </c>
      <c r="AC116" s="647">
        <f t="shared" ca="1" si="50"/>
        <v>0</v>
      </c>
      <c r="AD116" s="646" t="str">
        <f t="shared" ref="AD116:AD179" si="56">B116</f>
        <v>3320-035-905P-WFR250</v>
      </c>
      <c r="AE116" s="648">
        <f t="shared" ref="AE116:AE179" ca="1" si="57">MAX(AA116:AC116)</f>
        <v>55.7</v>
      </c>
    </row>
    <row r="117" spans="1:31" s="7" customFormat="1" ht="12">
      <c r="A117" s="23">
        <v>116</v>
      </c>
      <c r="B117" s="23" t="str">
        <f>SUBSTITUTE('ZAMÓWIENIE | WYCENA'!C56,"_",'ZAMÓWIENIE | WYCENA'!$AI56,1)</f>
        <v>1110-000-905S-RZL000</v>
      </c>
      <c r="C117" s="15">
        <f>'ZAMÓWIENIE | WYCENA'!I56</f>
        <v>0</v>
      </c>
      <c r="D117" s="14">
        <v>1</v>
      </c>
      <c r="E117" s="13"/>
      <c r="F117" s="13"/>
      <c r="G117" s="13"/>
      <c r="H117" s="24">
        <f>IFERROR(IF(COUNTIFS($H$1:H116,H116)&gt;=VLOOKUP(H116,$A$2:$D$309,4,0),IF(H116=MAX($A$2:$A$317),"",Lista!H116+1),H116),"")</f>
        <v>116</v>
      </c>
      <c r="I117" s="22" t="str">
        <f t="shared" si="51"/>
        <v>1110-000-905S-RZL000</v>
      </c>
      <c r="J117" s="24">
        <f t="shared" si="52"/>
        <v>0</v>
      </c>
      <c r="K117" s="25">
        <f t="shared" si="46"/>
        <v>0</v>
      </c>
      <c r="L117" s="26">
        <f t="shared" si="47"/>
        <v>0</v>
      </c>
      <c r="M117" s="26">
        <f t="shared" si="36"/>
        <v>0</v>
      </c>
      <c r="N117" s="26" t="str">
        <f t="shared" si="37"/>
        <v>SHO</v>
      </c>
      <c r="O117" s="26" t="str">
        <f t="shared" si="38"/>
        <v>IPT</v>
      </c>
      <c r="P117" s="25" t="str">
        <f t="shared" ca="1" si="39"/>
        <v>ND260415_0</v>
      </c>
      <c r="Q117" s="27" t="str">
        <f t="shared" ca="1" si="48"/>
        <v>2026-04-15</v>
      </c>
      <c r="R117" s="26" t="str">
        <f t="shared" si="49"/>
        <v>PLN</v>
      </c>
      <c r="S117" s="23" t="str">
        <f>IF(H117=1,VLOOKUP(COUNTIF($H$2:H117,H117),Specyfikacja!$A$5:$D$99,2,0),IF(H117=2,VLOOKUP(COUNTIF($H$2:H117,H117),Specyfikacja!$A$5:$K$99,9,0),""))</f>
        <v/>
      </c>
      <c r="T117" s="23" t="str">
        <f>IF(H117=1,VLOOKUP(COUNTIF($H$2:H117,H117),Specyfikacja!$A$5:$D$99,3,0),IF(H117=2,VLOOKUP(COUNTIF($H$2:H117,H117),Specyfikacja!$A$5:$K$99,10,0),""))</f>
        <v/>
      </c>
      <c r="U117" s="23" t="str">
        <f>SUBSTITUTE(SUBSTITUTE(IF(H117=1,VLOOKUP(COUNTIF($H$2:H117,H117),Specyfikacja!$A$5:$D$99,4,0),IF(H117=2,VLOOKUP(COUNTIF($H$2:H117,H117),Specyfikacja!$A$5:$K$99,11,0),"")),"Tak","YES"),"Nie","NO")</f>
        <v/>
      </c>
      <c r="W117" s="646" t="str">
        <f t="shared" ca="1" si="53"/>
        <v>=PODSTAW('ZAMÓWIENIE | WYCENA'!C56;"_";'ZAMÓWIENIE | WYCENA'!$AI56;1)</v>
      </c>
      <c r="X117" s="646">
        <f t="shared" ca="1" si="40"/>
        <v>10</v>
      </c>
      <c r="Y117" s="646">
        <f t="shared" ca="1" si="54"/>
        <v>35</v>
      </c>
      <c r="Z117" s="646" t="str">
        <f t="shared" ca="1" si="55"/>
        <v>'ZAMÓWIENIE | WYCENA'!C56</v>
      </c>
      <c r="AA117" s="647">
        <f t="shared" ref="AA117:AC180" ca="1" si="58">INDIRECT(SUBSTITUTE($Z117,"'!C","'!"&amp;AA$3))</f>
        <v>5.3</v>
      </c>
      <c r="AB117" s="647">
        <f t="shared" ca="1" si="58"/>
        <v>0</v>
      </c>
      <c r="AC117" s="647">
        <f t="shared" ca="1" si="58"/>
        <v>0</v>
      </c>
      <c r="AD117" s="646" t="str">
        <f t="shared" si="56"/>
        <v>1110-000-905S-RZL000</v>
      </c>
      <c r="AE117" s="648">
        <f t="shared" ca="1" si="57"/>
        <v>5.3</v>
      </c>
    </row>
    <row r="118" spans="1:31" s="7" customFormat="1" ht="12">
      <c r="A118" s="23">
        <v>117</v>
      </c>
      <c r="B118" s="23" t="str">
        <f>SUBSTITUTE('ZAMÓWIENIE | WYCENA'!C57,"_",'ZAMÓWIENIE | WYCENA'!$AI57,1)</f>
        <v>1110-000-905S-RZP000</v>
      </c>
      <c r="C118" s="15">
        <f>'ZAMÓWIENIE | WYCENA'!I57</f>
        <v>0</v>
      </c>
      <c r="D118" s="14">
        <v>1</v>
      </c>
      <c r="E118" s="13"/>
      <c r="F118" s="13"/>
      <c r="G118" s="13"/>
      <c r="H118" s="24">
        <f>IFERROR(IF(COUNTIFS($H$1:H117,H117)&gt;=VLOOKUP(H117,$A$2:$D$309,4,0),IF(H117=MAX($A$2:$A$317),"",Lista!H117+1),H117),"")</f>
        <v>117</v>
      </c>
      <c r="I118" s="22" t="str">
        <f t="shared" si="51"/>
        <v>1110-000-905S-RZP000</v>
      </c>
      <c r="J118" s="24">
        <f t="shared" si="52"/>
        <v>0</v>
      </c>
      <c r="K118" s="25">
        <f t="shared" si="46"/>
        <v>0</v>
      </c>
      <c r="L118" s="26">
        <f t="shared" si="47"/>
        <v>0</v>
      </c>
      <c r="M118" s="26">
        <f t="shared" si="36"/>
        <v>0</v>
      </c>
      <c r="N118" s="26" t="str">
        <f t="shared" si="37"/>
        <v>SHO</v>
      </c>
      <c r="O118" s="26" t="str">
        <f t="shared" si="38"/>
        <v>IPT</v>
      </c>
      <c r="P118" s="25" t="str">
        <f t="shared" ca="1" si="39"/>
        <v>ND260415_0</v>
      </c>
      <c r="Q118" s="27" t="str">
        <f t="shared" ca="1" si="48"/>
        <v>2026-04-15</v>
      </c>
      <c r="R118" s="26" t="str">
        <f t="shared" si="49"/>
        <v>PLN</v>
      </c>
      <c r="S118" s="23" t="str">
        <f>IF(H118=1,VLOOKUP(COUNTIF($H$2:H118,H118),Specyfikacja!$A$5:$D$99,2,0),IF(H118=2,VLOOKUP(COUNTIF($H$2:H118,H118),Specyfikacja!$A$5:$K$99,9,0),""))</f>
        <v/>
      </c>
      <c r="T118" s="23" t="str">
        <f>IF(H118=1,VLOOKUP(COUNTIF($H$2:H118,H118),Specyfikacja!$A$5:$D$99,3,0),IF(H118=2,VLOOKUP(COUNTIF($H$2:H118,H118),Specyfikacja!$A$5:$K$99,10,0),""))</f>
        <v/>
      </c>
      <c r="U118" s="23" t="str">
        <f>SUBSTITUTE(SUBSTITUTE(IF(H118=1,VLOOKUP(COUNTIF($H$2:H118,H118),Specyfikacja!$A$5:$D$99,4,0),IF(H118=2,VLOOKUP(COUNTIF($H$2:H118,H118),Specyfikacja!$A$5:$K$99,11,0),"")),"Tak","YES"),"Nie","NO")</f>
        <v/>
      </c>
      <c r="W118" s="646" t="str">
        <f t="shared" ca="1" si="53"/>
        <v>=PODSTAW('ZAMÓWIENIE | WYCENA'!C57;"_";'ZAMÓWIENIE | WYCENA'!$AI57;1)</v>
      </c>
      <c r="X118" s="646">
        <f t="shared" ca="1" si="40"/>
        <v>10</v>
      </c>
      <c r="Y118" s="646">
        <f t="shared" ca="1" si="54"/>
        <v>35</v>
      </c>
      <c r="Z118" s="646" t="str">
        <f t="shared" ca="1" si="55"/>
        <v>'ZAMÓWIENIE | WYCENA'!C57</v>
      </c>
      <c r="AA118" s="647">
        <f t="shared" ca="1" si="58"/>
        <v>5.3</v>
      </c>
      <c r="AB118" s="647">
        <f t="shared" ca="1" si="58"/>
        <v>0</v>
      </c>
      <c r="AC118" s="647">
        <f t="shared" ca="1" si="58"/>
        <v>0</v>
      </c>
      <c r="AD118" s="646" t="str">
        <f t="shared" si="56"/>
        <v>1110-000-905S-RZP000</v>
      </c>
      <c r="AE118" s="648">
        <f t="shared" ca="1" si="57"/>
        <v>5.3</v>
      </c>
    </row>
    <row r="119" spans="1:31" s="7" customFormat="1" ht="12">
      <c r="A119" s="23">
        <v>118</v>
      </c>
      <c r="B119" s="23" t="str">
        <f>SUBSTITUTE('ZAMÓWIENIE | WYCENA'!C52,"_",'ZAMÓWIENIE | WYCENA'!$AJ52,1)</f>
        <v>3320-000-817R-FZA100</v>
      </c>
      <c r="C119" s="15">
        <f>'ZAMÓWIENIE | WYCENA'!J52</f>
        <v>0</v>
      </c>
      <c r="D119" s="14">
        <v>1</v>
      </c>
      <c r="E119" s="13"/>
      <c r="F119" s="13"/>
      <c r="G119" s="13"/>
      <c r="H119" s="24">
        <f>IFERROR(IF(COUNTIFS($H$1:H118,H118)&gt;=VLOOKUP(H118,$A$2:$D$309,4,0),IF(H118=MAX($A$2:$A$317),"",Lista!H118+1),H118),"")</f>
        <v>118</v>
      </c>
      <c r="I119" s="22" t="str">
        <f t="shared" si="51"/>
        <v>3320-000-817R-FZA100</v>
      </c>
      <c r="J119" s="24">
        <f t="shared" si="52"/>
        <v>0</v>
      </c>
      <c r="K119" s="25">
        <f t="shared" si="46"/>
        <v>0</v>
      </c>
      <c r="L119" s="26">
        <f t="shared" si="47"/>
        <v>0</v>
      </c>
      <c r="M119" s="26">
        <f t="shared" si="36"/>
        <v>0</v>
      </c>
      <c r="N119" s="26" t="str">
        <f t="shared" si="37"/>
        <v>SHO</v>
      </c>
      <c r="O119" s="26" t="str">
        <f t="shared" si="38"/>
        <v>IPT</v>
      </c>
      <c r="P119" s="25" t="str">
        <f t="shared" ca="1" si="39"/>
        <v>ND260415_0</v>
      </c>
      <c r="Q119" s="27" t="str">
        <f t="shared" ca="1" si="48"/>
        <v>2026-04-15</v>
      </c>
      <c r="R119" s="26" t="str">
        <f t="shared" si="49"/>
        <v>PLN</v>
      </c>
      <c r="S119" s="23" t="str">
        <f>IF(H119=1,VLOOKUP(COUNTIF($H$2:H119,H119),Specyfikacja!$A$5:$D$99,2,0),IF(H119=2,VLOOKUP(COUNTIF($H$2:H119,H119),Specyfikacja!$A$5:$K$99,9,0),""))</f>
        <v/>
      </c>
      <c r="T119" s="23" t="str">
        <f>IF(H119=1,VLOOKUP(COUNTIF($H$2:H119,H119),Specyfikacja!$A$5:$D$99,3,0),IF(H119=2,VLOOKUP(COUNTIF($H$2:H119,H119),Specyfikacja!$A$5:$K$99,10,0),""))</f>
        <v/>
      </c>
      <c r="U119" s="23" t="str">
        <f>SUBSTITUTE(SUBSTITUTE(IF(H119=1,VLOOKUP(COUNTIF($H$2:H119,H119),Specyfikacja!$A$5:$D$99,4,0),IF(H119=2,VLOOKUP(COUNTIF($H$2:H119,H119),Specyfikacja!$A$5:$K$99,11,0),"")),"Tak","YES"),"Nie","NO")</f>
        <v/>
      </c>
      <c r="W119" s="646" t="str">
        <f t="shared" ca="1" si="53"/>
        <v>=PODSTAW('ZAMÓWIENIE | WYCENA'!C52;"_";'ZAMÓWIENIE | WYCENA'!$AJ52;1)</v>
      </c>
      <c r="X119" s="646">
        <f t="shared" ca="1" si="40"/>
        <v>10</v>
      </c>
      <c r="Y119" s="646">
        <f t="shared" ca="1" si="54"/>
        <v>35</v>
      </c>
      <c r="Z119" s="646" t="str">
        <f t="shared" ca="1" si="55"/>
        <v>'ZAMÓWIENIE | WYCENA'!C52</v>
      </c>
      <c r="AA119" s="647">
        <f t="shared" ca="1" si="58"/>
        <v>32</v>
      </c>
      <c r="AB119" s="647">
        <f t="shared" ca="1" si="58"/>
        <v>0</v>
      </c>
      <c r="AC119" s="647">
        <f t="shared" ca="1" si="58"/>
        <v>0</v>
      </c>
      <c r="AD119" s="646" t="str">
        <f t="shared" si="56"/>
        <v>3320-000-817R-FZA100</v>
      </c>
      <c r="AE119" s="648">
        <f t="shared" ca="1" si="57"/>
        <v>32</v>
      </c>
    </row>
    <row r="120" spans="1:31" s="7" customFormat="1" ht="12">
      <c r="A120" s="23">
        <v>119</v>
      </c>
      <c r="B120" s="23" t="str">
        <f>SUBSTITUTE('ZAMÓWIENIE | WYCENA'!C53,"_",'ZAMÓWIENIE | WYCENA'!$AJ53,1)</f>
        <v>3320-035-817R-WTX250</v>
      </c>
      <c r="C120" s="15">
        <f>'ZAMÓWIENIE | WYCENA'!J53</f>
        <v>0</v>
      </c>
      <c r="D120" s="14">
        <v>1</v>
      </c>
      <c r="E120" s="13"/>
      <c r="F120" s="13"/>
      <c r="G120" s="13"/>
      <c r="H120" s="24">
        <f>IFERROR(IF(COUNTIFS($H$1:H119,H119)&gt;=VLOOKUP(H119,$A$2:$D$309,4,0),IF(H119=MAX($A$2:$A$317),"",Lista!H119+1),H119),"")</f>
        <v>119</v>
      </c>
      <c r="I120" s="22" t="str">
        <f t="shared" si="51"/>
        <v>3320-035-817R-WTX250</v>
      </c>
      <c r="J120" s="24">
        <f t="shared" si="52"/>
        <v>0</v>
      </c>
      <c r="K120" s="25">
        <f t="shared" si="46"/>
        <v>0</v>
      </c>
      <c r="L120" s="26">
        <f t="shared" si="47"/>
        <v>0</v>
      </c>
      <c r="M120" s="26">
        <f t="shared" si="36"/>
        <v>0</v>
      </c>
      <c r="N120" s="26" t="str">
        <f t="shared" si="37"/>
        <v>SHO</v>
      </c>
      <c r="O120" s="26" t="str">
        <f t="shared" si="38"/>
        <v>IPT</v>
      </c>
      <c r="P120" s="25" t="str">
        <f t="shared" ca="1" si="39"/>
        <v>ND260415_0</v>
      </c>
      <c r="Q120" s="27" t="str">
        <f t="shared" ca="1" si="48"/>
        <v>2026-04-15</v>
      </c>
      <c r="R120" s="26" t="str">
        <f t="shared" si="49"/>
        <v>PLN</v>
      </c>
      <c r="S120" s="23" t="str">
        <f>IF(H120=1,VLOOKUP(COUNTIF($H$2:H120,H120),Specyfikacja!$A$5:$D$99,2,0),IF(H120=2,VLOOKUP(COUNTIF($H$2:H120,H120),Specyfikacja!$A$5:$K$99,9,0),""))</f>
        <v/>
      </c>
      <c r="T120" s="23" t="str">
        <f>IF(H120=1,VLOOKUP(COUNTIF($H$2:H120,H120),Specyfikacja!$A$5:$D$99,3,0),IF(H120=2,VLOOKUP(COUNTIF($H$2:H120,H120),Specyfikacja!$A$5:$K$99,10,0),""))</f>
        <v/>
      </c>
      <c r="U120" s="23" t="str">
        <f>SUBSTITUTE(SUBSTITUTE(IF(H120=1,VLOOKUP(COUNTIF($H$2:H120,H120),Specyfikacja!$A$5:$D$99,4,0),IF(H120=2,VLOOKUP(COUNTIF($H$2:H120,H120),Specyfikacja!$A$5:$K$99,11,0),"")),"Tak","YES"),"Nie","NO")</f>
        <v/>
      </c>
      <c r="W120" s="646" t="str">
        <f t="shared" ca="1" si="53"/>
        <v>=PODSTAW('ZAMÓWIENIE | WYCENA'!C53;"_";'ZAMÓWIENIE | WYCENA'!$AJ53;1)</v>
      </c>
      <c r="X120" s="646">
        <f t="shared" ca="1" si="40"/>
        <v>10</v>
      </c>
      <c r="Y120" s="646">
        <f t="shared" ca="1" si="54"/>
        <v>35</v>
      </c>
      <c r="Z120" s="646" t="str">
        <f t="shared" ca="1" si="55"/>
        <v>'ZAMÓWIENIE | WYCENA'!C53</v>
      </c>
      <c r="AA120" s="647">
        <f t="shared" ca="1" si="58"/>
        <v>101.9</v>
      </c>
      <c r="AB120" s="647">
        <f t="shared" ca="1" si="58"/>
        <v>0</v>
      </c>
      <c r="AC120" s="647">
        <f t="shared" ca="1" si="58"/>
        <v>0</v>
      </c>
      <c r="AD120" s="646" t="str">
        <f t="shared" si="56"/>
        <v>3320-035-817R-WTX250</v>
      </c>
      <c r="AE120" s="648">
        <f t="shared" ca="1" si="57"/>
        <v>101.9</v>
      </c>
    </row>
    <row r="121" spans="1:31" s="7" customFormat="1" ht="12">
      <c r="A121" s="23">
        <v>120</v>
      </c>
      <c r="B121" s="23" t="str">
        <f>SUBSTITUTE('ZAMÓWIENIE | WYCENA'!C54,"_",'ZAMÓWIENIE | WYCENA'!$AJ54,1)</f>
        <v>3320-020-817R-WTZ250</v>
      </c>
      <c r="C121" s="15">
        <f>'ZAMÓWIENIE | WYCENA'!J54</f>
        <v>0</v>
      </c>
      <c r="D121" s="14">
        <v>1</v>
      </c>
      <c r="E121" s="13"/>
      <c r="F121" s="13"/>
      <c r="G121" s="13"/>
      <c r="H121" s="24">
        <f>IFERROR(IF(COUNTIFS($H$1:H120,H120)&gt;=VLOOKUP(H120,$A$2:$D$309,4,0),IF(H120=MAX($A$2:$A$317),"",Lista!H120+1),H120),"")</f>
        <v>120</v>
      </c>
      <c r="I121" s="22" t="str">
        <f t="shared" si="51"/>
        <v>3320-020-817R-WTZ250</v>
      </c>
      <c r="J121" s="24">
        <f t="shared" si="52"/>
        <v>0</v>
      </c>
      <c r="K121" s="25">
        <f t="shared" si="46"/>
        <v>0</v>
      </c>
      <c r="L121" s="26">
        <f t="shared" si="47"/>
        <v>0</v>
      </c>
      <c r="M121" s="26">
        <f t="shared" si="36"/>
        <v>0</v>
      </c>
      <c r="N121" s="26" t="str">
        <f t="shared" si="37"/>
        <v>SHO</v>
      </c>
      <c r="O121" s="26" t="str">
        <f t="shared" si="38"/>
        <v>IPT</v>
      </c>
      <c r="P121" s="25" t="str">
        <f t="shared" ca="1" si="39"/>
        <v>ND260415_0</v>
      </c>
      <c r="Q121" s="27" t="str">
        <f t="shared" ca="1" si="48"/>
        <v>2026-04-15</v>
      </c>
      <c r="R121" s="26" t="str">
        <f t="shared" si="49"/>
        <v>PLN</v>
      </c>
      <c r="S121" s="23" t="str">
        <f>IF(H121=1,VLOOKUP(COUNTIF($H$2:H121,H121),Specyfikacja!$A$5:$D$99,2,0),IF(H121=2,VLOOKUP(COUNTIF($H$2:H121,H121),Specyfikacja!$A$5:$K$99,9,0),""))</f>
        <v/>
      </c>
      <c r="T121" s="23" t="str">
        <f>IF(H121=1,VLOOKUP(COUNTIF($H$2:H121,H121),Specyfikacja!$A$5:$D$99,3,0),IF(H121=2,VLOOKUP(COUNTIF($H$2:H121,H121),Specyfikacja!$A$5:$K$99,10,0),""))</f>
        <v/>
      </c>
      <c r="U121" s="23" t="str">
        <f>SUBSTITUTE(SUBSTITUTE(IF(H121=1,VLOOKUP(COUNTIF($H$2:H121,H121),Specyfikacja!$A$5:$D$99,4,0),IF(H121=2,VLOOKUP(COUNTIF($H$2:H121,H121),Specyfikacja!$A$5:$K$99,11,0),"")),"Tak","YES"),"Nie","NO")</f>
        <v/>
      </c>
      <c r="W121" s="646" t="str">
        <f t="shared" ca="1" si="53"/>
        <v>=PODSTAW('ZAMÓWIENIE | WYCENA'!C54;"_";'ZAMÓWIENIE | WYCENA'!$AJ54;1)</v>
      </c>
      <c r="X121" s="646">
        <f t="shared" ca="1" si="40"/>
        <v>10</v>
      </c>
      <c r="Y121" s="646">
        <f t="shared" ca="1" si="54"/>
        <v>35</v>
      </c>
      <c r="Z121" s="646" t="str">
        <f t="shared" ca="1" si="55"/>
        <v>'ZAMÓWIENIE | WYCENA'!C54</v>
      </c>
      <c r="AA121" s="647">
        <f t="shared" ca="1" si="58"/>
        <v>101.9</v>
      </c>
      <c r="AB121" s="647">
        <f t="shared" ca="1" si="58"/>
        <v>0</v>
      </c>
      <c r="AC121" s="647">
        <f t="shared" ca="1" si="58"/>
        <v>0</v>
      </c>
      <c r="AD121" s="646" t="str">
        <f t="shared" si="56"/>
        <v>3320-020-817R-WTZ250</v>
      </c>
      <c r="AE121" s="648">
        <f t="shared" ca="1" si="57"/>
        <v>101.9</v>
      </c>
    </row>
    <row r="122" spans="1:31" s="7" customFormat="1" ht="12">
      <c r="A122" s="23">
        <v>121</v>
      </c>
      <c r="B122" s="23" t="str">
        <f>SUBSTITUTE('ZAMÓWIENIE | WYCENA'!C55,"_",'ZAMÓWIENIE | WYCENA'!$AJ55,1)</f>
        <v>3320-035-817R-WFR250</v>
      </c>
      <c r="C122" s="15">
        <f>'ZAMÓWIENIE | WYCENA'!J55</f>
        <v>0</v>
      </c>
      <c r="D122" s="14">
        <v>1</v>
      </c>
      <c r="E122" s="13"/>
      <c r="F122" s="13"/>
      <c r="G122" s="13"/>
      <c r="H122" s="24">
        <f>IFERROR(IF(COUNTIFS($H$1:H121,H121)&gt;=VLOOKUP(H121,$A$2:$D$309,4,0),IF(H121=MAX($A$2:$A$317),"",Lista!H121+1),H121),"")</f>
        <v>121</v>
      </c>
      <c r="I122" s="22" t="str">
        <f t="shared" si="51"/>
        <v>3320-035-817R-WFR250</v>
      </c>
      <c r="J122" s="24">
        <f t="shared" si="52"/>
        <v>0</v>
      </c>
      <c r="K122" s="25">
        <f t="shared" si="46"/>
        <v>0</v>
      </c>
      <c r="L122" s="26">
        <f t="shared" si="47"/>
        <v>0</v>
      </c>
      <c r="M122" s="26">
        <f t="shared" si="36"/>
        <v>0</v>
      </c>
      <c r="N122" s="26" t="str">
        <f t="shared" si="37"/>
        <v>SHO</v>
      </c>
      <c r="O122" s="26" t="str">
        <f t="shared" si="38"/>
        <v>IPT</v>
      </c>
      <c r="P122" s="25" t="str">
        <f t="shared" ca="1" si="39"/>
        <v>ND260415_0</v>
      </c>
      <c r="Q122" s="27" t="str">
        <f t="shared" ca="1" si="48"/>
        <v>2026-04-15</v>
      </c>
      <c r="R122" s="26" t="str">
        <f t="shared" si="49"/>
        <v>PLN</v>
      </c>
      <c r="S122" s="23" t="str">
        <f>IF(H122=1,VLOOKUP(COUNTIF($H$2:H122,H122),Specyfikacja!$A$5:$D$99,2,0),IF(H122=2,VLOOKUP(COUNTIF($H$2:H122,H122),Specyfikacja!$A$5:$K$99,9,0),""))</f>
        <v/>
      </c>
      <c r="T122" s="23" t="str">
        <f>IF(H122=1,VLOOKUP(COUNTIF($H$2:H122,H122),Specyfikacja!$A$5:$D$99,3,0),IF(H122=2,VLOOKUP(COUNTIF($H$2:H122,H122),Specyfikacja!$A$5:$K$99,10,0),""))</f>
        <v/>
      </c>
      <c r="U122" s="23" t="str">
        <f>SUBSTITUTE(SUBSTITUTE(IF(H122=1,VLOOKUP(COUNTIF($H$2:H122,H122),Specyfikacja!$A$5:$D$99,4,0),IF(H122=2,VLOOKUP(COUNTIF($H$2:H122,H122),Specyfikacja!$A$5:$K$99,11,0),"")),"Tak","YES"),"Nie","NO")</f>
        <v/>
      </c>
      <c r="W122" s="646" t="str">
        <f t="shared" ca="1" si="53"/>
        <v>=PODSTAW('ZAMÓWIENIE | WYCENA'!C55;"_";'ZAMÓWIENIE | WYCENA'!$AJ55;1)</v>
      </c>
      <c r="X122" s="646">
        <f t="shared" ca="1" si="40"/>
        <v>10</v>
      </c>
      <c r="Y122" s="646">
        <f t="shared" ca="1" si="54"/>
        <v>35</v>
      </c>
      <c r="Z122" s="646" t="str">
        <f t="shared" ca="1" si="55"/>
        <v>'ZAMÓWIENIE | WYCENA'!C55</v>
      </c>
      <c r="AA122" s="647">
        <f t="shared" ca="1" si="58"/>
        <v>55.7</v>
      </c>
      <c r="AB122" s="647">
        <f t="shared" ca="1" si="58"/>
        <v>0</v>
      </c>
      <c r="AC122" s="647">
        <f t="shared" ca="1" si="58"/>
        <v>0</v>
      </c>
      <c r="AD122" s="646" t="str">
        <f t="shared" si="56"/>
        <v>3320-035-817R-WFR250</v>
      </c>
      <c r="AE122" s="648">
        <f t="shared" ca="1" si="57"/>
        <v>55.7</v>
      </c>
    </row>
    <row r="123" spans="1:31" s="7" customFormat="1" ht="12">
      <c r="A123" s="23">
        <v>122</v>
      </c>
      <c r="B123" s="23" t="str">
        <f>SUBSTITUTE('ZAMÓWIENIE | WYCENA'!C52,"_",'ZAMÓWIENIE | WYCENA'!$AK52,1)</f>
        <v>3320-000-716M-FZA100</v>
      </c>
      <c r="C123" s="15">
        <f>'ZAMÓWIENIE | WYCENA'!K52</f>
        <v>0</v>
      </c>
      <c r="D123" s="14">
        <v>1</v>
      </c>
      <c r="E123" s="13"/>
      <c r="F123" s="13"/>
      <c r="G123" s="13"/>
      <c r="H123" s="24">
        <f>IFERROR(IF(COUNTIFS($H$1:H122,H122)&gt;=VLOOKUP(H122,$A$2:$D$309,4,0),IF(H122=MAX($A$2:$A$317),"",Lista!H122+1),H122),"")</f>
        <v>122</v>
      </c>
      <c r="I123" s="22" t="str">
        <f t="shared" si="51"/>
        <v>3320-000-716M-FZA100</v>
      </c>
      <c r="J123" s="24">
        <f t="shared" si="52"/>
        <v>0</v>
      </c>
      <c r="K123" s="25">
        <f t="shared" si="46"/>
        <v>0</v>
      </c>
      <c r="L123" s="26">
        <f t="shared" si="47"/>
        <v>0</v>
      </c>
      <c r="M123" s="26">
        <f t="shared" si="36"/>
        <v>0</v>
      </c>
      <c r="N123" s="26" t="str">
        <f t="shared" si="37"/>
        <v>SHO</v>
      </c>
      <c r="O123" s="26" t="str">
        <f t="shared" si="38"/>
        <v>IPT</v>
      </c>
      <c r="P123" s="25" t="str">
        <f t="shared" ca="1" si="39"/>
        <v>ND260415_0</v>
      </c>
      <c r="Q123" s="27" t="str">
        <f t="shared" ca="1" si="48"/>
        <v>2026-04-15</v>
      </c>
      <c r="R123" s="26" t="str">
        <f t="shared" si="49"/>
        <v>PLN</v>
      </c>
      <c r="S123" s="23" t="str">
        <f>IF(H123=1,VLOOKUP(COUNTIF($H$2:H123,H123),Specyfikacja!$A$5:$D$99,2,0),IF(H123=2,VLOOKUP(COUNTIF($H$2:H123,H123),Specyfikacja!$A$5:$K$99,9,0),""))</f>
        <v/>
      </c>
      <c r="T123" s="23" t="str">
        <f>IF(H123=1,VLOOKUP(COUNTIF($H$2:H123,H123),Specyfikacja!$A$5:$D$99,3,0),IF(H123=2,VLOOKUP(COUNTIF($H$2:H123,H123),Specyfikacja!$A$5:$K$99,10,0),""))</f>
        <v/>
      </c>
      <c r="U123" s="23" t="str">
        <f>SUBSTITUTE(SUBSTITUTE(IF(H123=1,VLOOKUP(COUNTIF($H$2:H123,H123),Specyfikacja!$A$5:$D$99,4,0),IF(H123=2,VLOOKUP(COUNTIF($H$2:H123,H123),Specyfikacja!$A$5:$K$99,11,0),"")),"Tak","YES"),"Nie","NO")</f>
        <v/>
      </c>
      <c r="W123" s="646" t="str">
        <f t="shared" ca="1" si="53"/>
        <v>=PODSTAW('ZAMÓWIENIE | WYCENA'!C52;"_";'ZAMÓWIENIE | WYCENA'!$AK52;1)</v>
      </c>
      <c r="X123" s="646">
        <f t="shared" ca="1" si="40"/>
        <v>10</v>
      </c>
      <c r="Y123" s="646">
        <f t="shared" ca="1" si="54"/>
        <v>35</v>
      </c>
      <c r="Z123" s="646" t="str">
        <f t="shared" ca="1" si="55"/>
        <v>'ZAMÓWIENIE | WYCENA'!C52</v>
      </c>
      <c r="AA123" s="647">
        <f t="shared" ca="1" si="58"/>
        <v>32</v>
      </c>
      <c r="AB123" s="647">
        <f t="shared" ca="1" si="58"/>
        <v>0</v>
      </c>
      <c r="AC123" s="647">
        <f t="shared" ca="1" si="58"/>
        <v>0</v>
      </c>
      <c r="AD123" s="646" t="str">
        <f t="shared" si="56"/>
        <v>3320-000-716M-FZA100</v>
      </c>
      <c r="AE123" s="648">
        <f t="shared" ca="1" si="57"/>
        <v>32</v>
      </c>
    </row>
    <row r="124" spans="1:31" s="7" customFormat="1" ht="12">
      <c r="A124" s="23">
        <v>123</v>
      </c>
      <c r="B124" s="23" t="str">
        <f>SUBSTITUTE('ZAMÓWIENIE | WYCENA'!C53,"_",'ZAMÓWIENIE | WYCENA'!$AK53,1)</f>
        <v>3320-035-721P-WTX250</v>
      </c>
      <c r="C124" s="15">
        <f>'ZAMÓWIENIE | WYCENA'!K53</f>
        <v>0</v>
      </c>
      <c r="D124" s="14">
        <v>1</v>
      </c>
      <c r="E124" s="13"/>
      <c r="F124" s="13"/>
      <c r="G124" s="13"/>
      <c r="H124" s="24">
        <f>IFERROR(IF(COUNTIFS($H$1:H123,H123)&gt;=VLOOKUP(H123,$A$2:$D$309,4,0),IF(H123=MAX($A$2:$A$317),"",Lista!H123+1),H123),"")</f>
        <v>123</v>
      </c>
      <c r="I124" s="22" t="str">
        <f t="shared" si="51"/>
        <v>3320-035-721P-WTX250</v>
      </c>
      <c r="J124" s="24">
        <f t="shared" si="52"/>
        <v>0</v>
      </c>
      <c r="K124" s="25">
        <f t="shared" si="46"/>
        <v>0</v>
      </c>
      <c r="L124" s="26">
        <f t="shared" si="47"/>
        <v>0</v>
      </c>
      <c r="M124" s="26">
        <f t="shared" si="36"/>
        <v>0</v>
      </c>
      <c r="N124" s="26" t="str">
        <f t="shared" si="37"/>
        <v>SHO</v>
      </c>
      <c r="O124" s="26" t="str">
        <f t="shared" si="38"/>
        <v>IPT</v>
      </c>
      <c r="P124" s="25" t="str">
        <f t="shared" ca="1" si="39"/>
        <v>ND260415_0</v>
      </c>
      <c r="Q124" s="27" t="str">
        <f t="shared" ca="1" si="48"/>
        <v>2026-04-15</v>
      </c>
      <c r="R124" s="26" t="str">
        <f t="shared" si="49"/>
        <v>PLN</v>
      </c>
      <c r="S124" s="23" t="str">
        <f>IF(H124=1,VLOOKUP(COUNTIF($H$2:H124,H124),Specyfikacja!$A$5:$D$99,2,0),IF(H124=2,VLOOKUP(COUNTIF($H$2:H124,H124),Specyfikacja!$A$5:$K$99,9,0),""))</f>
        <v/>
      </c>
      <c r="T124" s="23" t="str">
        <f>IF(H124=1,VLOOKUP(COUNTIF($H$2:H124,H124),Specyfikacja!$A$5:$D$99,3,0),IF(H124=2,VLOOKUP(COUNTIF($H$2:H124,H124),Specyfikacja!$A$5:$K$99,10,0),""))</f>
        <v/>
      </c>
      <c r="U124" s="23" t="str">
        <f>SUBSTITUTE(SUBSTITUTE(IF(H124=1,VLOOKUP(COUNTIF($H$2:H124,H124),Specyfikacja!$A$5:$D$99,4,0),IF(H124=2,VLOOKUP(COUNTIF($H$2:H124,H124),Specyfikacja!$A$5:$K$99,11,0),"")),"Tak","YES"),"Nie","NO")</f>
        <v/>
      </c>
      <c r="W124" s="646" t="str">
        <f t="shared" ca="1" si="53"/>
        <v>=PODSTAW('ZAMÓWIENIE | WYCENA'!C53;"_";'ZAMÓWIENIE | WYCENA'!$AK53;1)</v>
      </c>
      <c r="X124" s="646">
        <f t="shared" ca="1" si="40"/>
        <v>10</v>
      </c>
      <c r="Y124" s="646">
        <f t="shared" ca="1" si="54"/>
        <v>35</v>
      </c>
      <c r="Z124" s="646" t="str">
        <f t="shared" ca="1" si="55"/>
        <v>'ZAMÓWIENIE | WYCENA'!C53</v>
      </c>
      <c r="AA124" s="647">
        <f t="shared" ca="1" si="58"/>
        <v>101.9</v>
      </c>
      <c r="AB124" s="647">
        <f t="shared" ca="1" si="58"/>
        <v>0</v>
      </c>
      <c r="AC124" s="647">
        <f t="shared" ca="1" si="58"/>
        <v>0</v>
      </c>
      <c r="AD124" s="646" t="str">
        <f t="shared" si="56"/>
        <v>3320-035-721P-WTX250</v>
      </c>
      <c r="AE124" s="648">
        <f t="shared" ca="1" si="57"/>
        <v>101.9</v>
      </c>
    </row>
    <row r="125" spans="1:31" s="7" customFormat="1" ht="12">
      <c r="A125" s="23">
        <v>124</v>
      </c>
      <c r="B125" s="23" t="str">
        <f>SUBSTITUTE('ZAMÓWIENIE | WYCENA'!C54,"_",'ZAMÓWIENIE | WYCENA'!$AK54,1)</f>
        <v>3320-020-721P-WTZ250</v>
      </c>
      <c r="C125" s="15">
        <f>'ZAMÓWIENIE | WYCENA'!K54</f>
        <v>0</v>
      </c>
      <c r="D125" s="14">
        <v>1</v>
      </c>
      <c r="E125" s="13"/>
      <c r="F125" s="13"/>
      <c r="G125" s="13"/>
      <c r="H125" s="24">
        <f>IFERROR(IF(COUNTIFS($H$1:H124,H124)&gt;=VLOOKUP(H124,$A$2:$D$309,4,0),IF(H124=MAX($A$2:$A$317),"",Lista!H124+1),H124),"")</f>
        <v>124</v>
      </c>
      <c r="I125" s="22" t="str">
        <f t="shared" si="51"/>
        <v>3320-020-721P-WTZ250</v>
      </c>
      <c r="J125" s="24">
        <f t="shared" si="52"/>
        <v>0</v>
      </c>
      <c r="K125" s="25">
        <f t="shared" si="46"/>
        <v>0</v>
      </c>
      <c r="L125" s="26">
        <f t="shared" si="47"/>
        <v>0</v>
      </c>
      <c r="M125" s="26">
        <f t="shared" si="36"/>
        <v>0</v>
      </c>
      <c r="N125" s="26" t="str">
        <f t="shared" si="37"/>
        <v>SHO</v>
      </c>
      <c r="O125" s="26" t="str">
        <f t="shared" si="38"/>
        <v>IPT</v>
      </c>
      <c r="P125" s="25" t="str">
        <f t="shared" ca="1" si="39"/>
        <v>ND260415_0</v>
      </c>
      <c r="Q125" s="27" t="str">
        <f t="shared" ca="1" si="48"/>
        <v>2026-04-15</v>
      </c>
      <c r="R125" s="26" t="str">
        <f t="shared" si="49"/>
        <v>PLN</v>
      </c>
      <c r="S125" s="23" t="str">
        <f>IF(H125=1,VLOOKUP(COUNTIF($H$2:H125,H125),Specyfikacja!$A$5:$D$99,2,0),IF(H125=2,VLOOKUP(COUNTIF($H$2:H125,H125),Specyfikacja!$A$5:$K$99,9,0),""))</f>
        <v/>
      </c>
      <c r="T125" s="23" t="str">
        <f>IF(H125=1,VLOOKUP(COUNTIF($H$2:H125,H125),Specyfikacja!$A$5:$D$99,3,0),IF(H125=2,VLOOKUP(COUNTIF($H$2:H125,H125),Specyfikacja!$A$5:$K$99,10,0),""))</f>
        <v/>
      </c>
      <c r="U125" s="23" t="str">
        <f>SUBSTITUTE(SUBSTITUTE(IF(H125=1,VLOOKUP(COUNTIF($H$2:H125,H125),Specyfikacja!$A$5:$D$99,4,0),IF(H125=2,VLOOKUP(COUNTIF($H$2:H125,H125),Specyfikacja!$A$5:$K$99,11,0),"")),"Tak","YES"),"Nie","NO")</f>
        <v/>
      </c>
      <c r="W125" s="646" t="str">
        <f t="shared" ca="1" si="53"/>
        <v>=PODSTAW('ZAMÓWIENIE | WYCENA'!C54;"_";'ZAMÓWIENIE | WYCENA'!$AK54;1)</v>
      </c>
      <c r="X125" s="646">
        <f t="shared" ca="1" si="40"/>
        <v>10</v>
      </c>
      <c r="Y125" s="646">
        <f t="shared" ca="1" si="54"/>
        <v>35</v>
      </c>
      <c r="Z125" s="646" t="str">
        <f t="shared" ca="1" si="55"/>
        <v>'ZAMÓWIENIE | WYCENA'!C54</v>
      </c>
      <c r="AA125" s="647">
        <f t="shared" ca="1" si="58"/>
        <v>101.9</v>
      </c>
      <c r="AB125" s="647">
        <f t="shared" ca="1" si="58"/>
        <v>0</v>
      </c>
      <c r="AC125" s="647">
        <f t="shared" ca="1" si="58"/>
        <v>0</v>
      </c>
      <c r="AD125" s="646" t="str">
        <f t="shared" si="56"/>
        <v>3320-020-721P-WTZ250</v>
      </c>
      <c r="AE125" s="648">
        <f t="shared" ca="1" si="57"/>
        <v>101.9</v>
      </c>
    </row>
    <row r="126" spans="1:31" s="7" customFormat="1" ht="12">
      <c r="A126" s="23">
        <v>125</v>
      </c>
      <c r="B126" s="23" t="str">
        <f>SUBSTITUTE('ZAMÓWIENIE | WYCENA'!C55,"_",'ZAMÓWIENIE | WYCENA'!$AK55,1)</f>
        <v>3320-035-721P-WFR250</v>
      </c>
      <c r="C126" s="15">
        <f>'ZAMÓWIENIE | WYCENA'!K55</f>
        <v>0</v>
      </c>
      <c r="D126" s="14">
        <v>1</v>
      </c>
      <c r="E126" s="13"/>
      <c r="F126" s="13"/>
      <c r="G126" s="13"/>
      <c r="H126" s="24">
        <f>IFERROR(IF(COUNTIFS($H$1:H125,H125)&gt;=VLOOKUP(H125,$A$2:$D$309,4,0),IF(H125=MAX($A$2:$A$317),"",Lista!H125+1),H125),"")</f>
        <v>125</v>
      </c>
      <c r="I126" s="22" t="str">
        <f t="shared" si="51"/>
        <v>3320-035-721P-WFR250</v>
      </c>
      <c r="J126" s="24">
        <f t="shared" si="52"/>
        <v>0</v>
      </c>
      <c r="K126" s="25">
        <f t="shared" si="46"/>
        <v>0</v>
      </c>
      <c r="L126" s="26">
        <f t="shared" si="47"/>
        <v>0</v>
      </c>
      <c r="M126" s="26">
        <f t="shared" si="36"/>
        <v>0</v>
      </c>
      <c r="N126" s="26" t="str">
        <f t="shared" si="37"/>
        <v>SHO</v>
      </c>
      <c r="O126" s="26" t="str">
        <f t="shared" si="38"/>
        <v>IPT</v>
      </c>
      <c r="P126" s="25" t="str">
        <f t="shared" ca="1" si="39"/>
        <v>ND260415_0</v>
      </c>
      <c r="Q126" s="27" t="str">
        <f t="shared" ca="1" si="48"/>
        <v>2026-04-15</v>
      </c>
      <c r="R126" s="26" t="str">
        <f t="shared" si="49"/>
        <v>PLN</v>
      </c>
      <c r="S126" s="23" t="str">
        <f>IF(H126=1,VLOOKUP(COUNTIF($H$2:H126,H126),Specyfikacja!$A$5:$D$99,2,0),IF(H126=2,VLOOKUP(COUNTIF($H$2:H126,H126),Specyfikacja!$A$5:$K$99,9,0),""))</f>
        <v/>
      </c>
      <c r="T126" s="23" t="str">
        <f>IF(H126=1,VLOOKUP(COUNTIF($H$2:H126,H126),Specyfikacja!$A$5:$D$99,3,0),IF(H126=2,VLOOKUP(COUNTIF($H$2:H126,H126),Specyfikacja!$A$5:$K$99,10,0),""))</f>
        <v/>
      </c>
      <c r="U126" s="23" t="str">
        <f>SUBSTITUTE(SUBSTITUTE(IF(H126=1,VLOOKUP(COUNTIF($H$2:H126,H126),Specyfikacja!$A$5:$D$99,4,0),IF(H126=2,VLOOKUP(COUNTIF($H$2:H126,H126),Specyfikacja!$A$5:$K$99,11,0),"")),"Tak","YES"),"Nie","NO")</f>
        <v/>
      </c>
      <c r="W126" s="646" t="str">
        <f t="shared" ca="1" si="53"/>
        <v>=PODSTAW('ZAMÓWIENIE | WYCENA'!C55;"_";'ZAMÓWIENIE | WYCENA'!$AK55;1)</v>
      </c>
      <c r="X126" s="646">
        <f t="shared" ca="1" si="40"/>
        <v>10</v>
      </c>
      <c r="Y126" s="646">
        <f t="shared" ca="1" si="54"/>
        <v>35</v>
      </c>
      <c r="Z126" s="646" t="str">
        <f t="shared" ca="1" si="55"/>
        <v>'ZAMÓWIENIE | WYCENA'!C55</v>
      </c>
      <c r="AA126" s="647">
        <f t="shared" ca="1" si="58"/>
        <v>55.7</v>
      </c>
      <c r="AB126" s="647">
        <f t="shared" ca="1" si="58"/>
        <v>0</v>
      </c>
      <c r="AC126" s="647">
        <f t="shared" ca="1" si="58"/>
        <v>0</v>
      </c>
      <c r="AD126" s="646" t="str">
        <f t="shared" si="56"/>
        <v>3320-035-721P-WFR250</v>
      </c>
      <c r="AE126" s="648">
        <f t="shared" ca="1" si="57"/>
        <v>55.7</v>
      </c>
    </row>
    <row r="127" spans="1:31" s="7" customFormat="1" ht="12">
      <c r="A127" s="23">
        <v>126</v>
      </c>
      <c r="B127" s="23" t="str">
        <f>SUBSTITUTE('ZAMÓWIENIE | WYCENA'!C56,"_",'ZAMÓWIENIE | WYCENA'!$AK56,1)</f>
        <v>1110-000-716S-RZL000</v>
      </c>
      <c r="C127" s="15">
        <f>'ZAMÓWIENIE | WYCENA'!K56</f>
        <v>0</v>
      </c>
      <c r="D127" s="14">
        <v>1</v>
      </c>
      <c r="E127" s="13"/>
      <c r="F127" s="13"/>
      <c r="G127" s="13"/>
      <c r="H127" s="24">
        <f>IFERROR(IF(COUNTIFS($H$1:H126,H126)&gt;=VLOOKUP(H126,$A$2:$D$309,4,0),IF(H126=MAX($A$2:$A$317),"",Lista!H126+1),H126),"")</f>
        <v>126</v>
      </c>
      <c r="I127" s="22" t="str">
        <f t="shared" si="51"/>
        <v>1110-000-716S-RZL000</v>
      </c>
      <c r="J127" s="24">
        <f t="shared" si="52"/>
        <v>0</v>
      </c>
      <c r="K127" s="25">
        <f t="shared" si="46"/>
        <v>0</v>
      </c>
      <c r="L127" s="26">
        <f t="shared" si="47"/>
        <v>0</v>
      </c>
      <c r="M127" s="26">
        <f t="shared" si="36"/>
        <v>0</v>
      </c>
      <c r="N127" s="26" t="str">
        <f t="shared" si="37"/>
        <v>SHO</v>
      </c>
      <c r="O127" s="26" t="str">
        <f t="shared" si="38"/>
        <v>IPT</v>
      </c>
      <c r="P127" s="25" t="str">
        <f t="shared" ca="1" si="39"/>
        <v>ND260415_0</v>
      </c>
      <c r="Q127" s="27" t="str">
        <f t="shared" ca="1" si="48"/>
        <v>2026-04-15</v>
      </c>
      <c r="R127" s="26" t="str">
        <f t="shared" si="49"/>
        <v>PLN</v>
      </c>
      <c r="S127" s="23" t="str">
        <f>IF(H127=1,VLOOKUP(COUNTIF($H$2:H127,H127),Specyfikacja!$A$5:$D$99,2,0),IF(H127=2,VLOOKUP(COUNTIF($H$2:H127,H127),Specyfikacja!$A$5:$K$99,9,0),""))</f>
        <v/>
      </c>
      <c r="T127" s="23" t="str">
        <f>IF(H127=1,VLOOKUP(COUNTIF($H$2:H127,H127),Specyfikacja!$A$5:$D$99,3,0),IF(H127=2,VLOOKUP(COUNTIF($H$2:H127,H127),Specyfikacja!$A$5:$K$99,10,0),""))</f>
        <v/>
      </c>
      <c r="U127" s="23" t="str">
        <f>SUBSTITUTE(SUBSTITUTE(IF(H127=1,VLOOKUP(COUNTIF($H$2:H127,H127),Specyfikacja!$A$5:$D$99,4,0),IF(H127=2,VLOOKUP(COUNTIF($H$2:H127,H127),Specyfikacja!$A$5:$K$99,11,0),"")),"Tak","YES"),"Nie","NO")</f>
        <v/>
      </c>
      <c r="W127" s="646" t="str">
        <f t="shared" ca="1" si="53"/>
        <v>=PODSTAW('ZAMÓWIENIE | WYCENA'!C56;"_";'ZAMÓWIENIE | WYCENA'!$AK56;1)</v>
      </c>
      <c r="X127" s="646">
        <f t="shared" ca="1" si="40"/>
        <v>10</v>
      </c>
      <c r="Y127" s="646">
        <f t="shared" ca="1" si="54"/>
        <v>35</v>
      </c>
      <c r="Z127" s="646" t="str">
        <f t="shared" ca="1" si="55"/>
        <v>'ZAMÓWIENIE | WYCENA'!C56</v>
      </c>
      <c r="AA127" s="647">
        <f t="shared" ca="1" si="58"/>
        <v>5.3</v>
      </c>
      <c r="AB127" s="647">
        <f t="shared" ca="1" si="58"/>
        <v>0</v>
      </c>
      <c r="AC127" s="647">
        <f t="shared" ca="1" si="58"/>
        <v>0</v>
      </c>
      <c r="AD127" s="646" t="str">
        <f t="shared" si="56"/>
        <v>1110-000-716S-RZL000</v>
      </c>
      <c r="AE127" s="648">
        <f t="shared" ca="1" si="57"/>
        <v>5.3</v>
      </c>
    </row>
    <row r="128" spans="1:31" s="7" customFormat="1" ht="12">
      <c r="A128" s="23">
        <v>127</v>
      </c>
      <c r="B128" s="23" t="str">
        <f>SUBSTITUTE('ZAMÓWIENIE | WYCENA'!C57,"_",'ZAMÓWIENIE | WYCENA'!$AK57,1)</f>
        <v>1110-000-716S-RZP000</v>
      </c>
      <c r="C128" s="15">
        <f>'ZAMÓWIENIE | WYCENA'!K57</f>
        <v>0</v>
      </c>
      <c r="D128" s="14">
        <v>1</v>
      </c>
      <c r="E128" s="13"/>
      <c r="F128" s="13"/>
      <c r="G128" s="13"/>
      <c r="H128" s="24">
        <f>IFERROR(IF(COUNTIFS($H$1:H127,H127)&gt;=VLOOKUP(H127,$A$2:$D$309,4,0),IF(H127=MAX($A$2:$A$317),"",Lista!H127+1),H127),"")</f>
        <v>127</v>
      </c>
      <c r="I128" s="22" t="str">
        <f t="shared" si="51"/>
        <v>1110-000-716S-RZP000</v>
      </c>
      <c r="J128" s="24">
        <f t="shared" si="52"/>
        <v>0</v>
      </c>
      <c r="K128" s="25">
        <f t="shared" si="46"/>
        <v>0</v>
      </c>
      <c r="L128" s="26">
        <f t="shared" si="47"/>
        <v>0</v>
      </c>
      <c r="M128" s="26">
        <f t="shared" si="36"/>
        <v>0</v>
      </c>
      <c r="N128" s="26" t="str">
        <f t="shared" si="37"/>
        <v>SHO</v>
      </c>
      <c r="O128" s="26" t="str">
        <f t="shared" si="38"/>
        <v>IPT</v>
      </c>
      <c r="P128" s="25" t="str">
        <f t="shared" ca="1" si="39"/>
        <v>ND260415_0</v>
      </c>
      <c r="Q128" s="27" t="str">
        <f t="shared" ca="1" si="48"/>
        <v>2026-04-15</v>
      </c>
      <c r="R128" s="26" t="str">
        <f t="shared" si="49"/>
        <v>PLN</v>
      </c>
      <c r="S128" s="23" t="str">
        <f>IF(H128=1,VLOOKUP(COUNTIF($H$2:H128,H128),Specyfikacja!$A$5:$D$99,2,0),IF(H128=2,VLOOKUP(COUNTIF($H$2:H128,H128),Specyfikacja!$A$5:$K$99,9,0),""))</f>
        <v/>
      </c>
      <c r="T128" s="23" t="str">
        <f>IF(H128=1,VLOOKUP(COUNTIF($H$2:H128,H128),Specyfikacja!$A$5:$D$99,3,0),IF(H128=2,VLOOKUP(COUNTIF($H$2:H128,H128),Specyfikacja!$A$5:$K$99,10,0),""))</f>
        <v/>
      </c>
      <c r="U128" s="23" t="str">
        <f>SUBSTITUTE(SUBSTITUTE(IF(H128=1,VLOOKUP(COUNTIF($H$2:H128,H128),Specyfikacja!$A$5:$D$99,4,0),IF(H128=2,VLOOKUP(COUNTIF($H$2:H128,H128),Specyfikacja!$A$5:$K$99,11,0),"")),"Tak","YES"),"Nie","NO")</f>
        <v/>
      </c>
      <c r="W128" s="646" t="str">
        <f t="shared" ca="1" si="53"/>
        <v>=PODSTAW('ZAMÓWIENIE | WYCENA'!C57;"_";'ZAMÓWIENIE | WYCENA'!$AK57;1)</v>
      </c>
      <c r="X128" s="646">
        <f t="shared" ca="1" si="40"/>
        <v>10</v>
      </c>
      <c r="Y128" s="646">
        <f t="shared" ca="1" si="54"/>
        <v>35</v>
      </c>
      <c r="Z128" s="646" t="str">
        <f t="shared" ca="1" si="55"/>
        <v>'ZAMÓWIENIE | WYCENA'!C57</v>
      </c>
      <c r="AA128" s="647">
        <f t="shared" ca="1" si="58"/>
        <v>5.3</v>
      </c>
      <c r="AB128" s="647">
        <f t="shared" ca="1" si="58"/>
        <v>0</v>
      </c>
      <c r="AC128" s="647">
        <f t="shared" ca="1" si="58"/>
        <v>0</v>
      </c>
      <c r="AD128" s="646" t="str">
        <f t="shared" si="56"/>
        <v>1110-000-716S-RZP000</v>
      </c>
      <c r="AE128" s="648">
        <f t="shared" ca="1" si="57"/>
        <v>5.3</v>
      </c>
    </row>
    <row r="129" spans="1:31" s="7" customFormat="1" ht="12">
      <c r="A129" s="23">
        <v>128</v>
      </c>
      <c r="B129" s="23" t="str">
        <f>SUBSTITUTE('ZAMÓWIENIE | WYCENA'!C52,"_",'ZAMÓWIENIE | WYCENA'!$AL52,1)</f>
        <v>3320-000-905M-FZA100</v>
      </c>
      <c r="C129" s="15">
        <f>'ZAMÓWIENIE | WYCENA'!L52</f>
        <v>0</v>
      </c>
      <c r="D129" s="14">
        <v>1</v>
      </c>
      <c r="E129" s="13"/>
      <c r="F129" s="13"/>
      <c r="G129" s="13"/>
      <c r="H129" s="24">
        <f>IFERROR(IF(COUNTIFS($H$1:H128,H128)&gt;=VLOOKUP(H128,$A$2:$D$309,4,0),IF(H128=MAX($A$2:$A$317),"",Lista!H128+1),H128),"")</f>
        <v>128</v>
      </c>
      <c r="I129" s="22" t="str">
        <f t="shared" si="51"/>
        <v>3320-000-905M-FZA100</v>
      </c>
      <c r="J129" s="24">
        <f t="shared" si="52"/>
        <v>0</v>
      </c>
      <c r="K129" s="25">
        <f t="shared" si="46"/>
        <v>0</v>
      </c>
      <c r="L129" s="26">
        <f t="shared" si="47"/>
        <v>0</v>
      </c>
      <c r="M129" s="26">
        <f t="shared" si="36"/>
        <v>0</v>
      </c>
      <c r="N129" s="26" t="str">
        <f t="shared" si="37"/>
        <v>SHO</v>
      </c>
      <c r="O129" s="26" t="str">
        <f t="shared" si="38"/>
        <v>IPT</v>
      </c>
      <c r="P129" s="25" t="str">
        <f t="shared" ca="1" si="39"/>
        <v>ND260415_0</v>
      </c>
      <c r="Q129" s="27" t="str">
        <f t="shared" ca="1" si="48"/>
        <v>2026-04-15</v>
      </c>
      <c r="R129" s="26" t="str">
        <f t="shared" si="49"/>
        <v>PLN</v>
      </c>
      <c r="S129" s="23" t="str">
        <f>IF(H129=1,VLOOKUP(COUNTIF($H$2:H129,H129),Specyfikacja!$A$5:$D$99,2,0),IF(H129=2,VLOOKUP(COUNTIF($H$2:H129,H129),Specyfikacja!$A$5:$K$99,9,0),""))</f>
        <v/>
      </c>
      <c r="T129" s="23" t="str">
        <f>IF(H129=1,VLOOKUP(COUNTIF($H$2:H129,H129),Specyfikacja!$A$5:$D$99,3,0),IF(H129=2,VLOOKUP(COUNTIF($H$2:H129,H129),Specyfikacja!$A$5:$K$99,10,0),""))</f>
        <v/>
      </c>
      <c r="U129" s="23" t="str">
        <f>SUBSTITUTE(SUBSTITUTE(IF(H129=1,VLOOKUP(COUNTIF($H$2:H129,H129),Specyfikacja!$A$5:$D$99,4,0),IF(H129=2,VLOOKUP(COUNTIF($H$2:H129,H129),Specyfikacja!$A$5:$K$99,11,0),"")),"Tak","YES"),"Nie","NO")</f>
        <v/>
      </c>
      <c r="W129" s="646" t="str">
        <f t="shared" ca="1" si="53"/>
        <v>=PODSTAW('ZAMÓWIENIE | WYCENA'!C52;"_";'ZAMÓWIENIE | WYCENA'!$AL52;1)</v>
      </c>
      <c r="X129" s="646">
        <f t="shared" ca="1" si="40"/>
        <v>10</v>
      </c>
      <c r="Y129" s="646">
        <f t="shared" ca="1" si="54"/>
        <v>35</v>
      </c>
      <c r="Z129" s="646" t="str">
        <f t="shared" ca="1" si="55"/>
        <v>'ZAMÓWIENIE | WYCENA'!C52</v>
      </c>
      <c r="AA129" s="647">
        <f t="shared" ca="1" si="58"/>
        <v>32</v>
      </c>
      <c r="AB129" s="647">
        <f t="shared" ca="1" si="58"/>
        <v>0</v>
      </c>
      <c r="AC129" s="647">
        <f t="shared" ca="1" si="58"/>
        <v>0</v>
      </c>
      <c r="AD129" s="646" t="str">
        <f t="shared" si="56"/>
        <v>3320-000-905M-FZA100</v>
      </c>
      <c r="AE129" s="648">
        <f t="shared" ca="1" si="57"/>
        <v>32</v>
      </c>
    </row>
    <row r="130" spans="1:31" s="7" customFormat="1" ht="12">
      <c r="A130" s="23">
        <v>129</v>
      </c>
      <c r="B130" s="23" t="str">
        <f>SUBSTITUTE('ZAMÓWIENIE | WYCENA'!C53,"_",'ZAMÓWIENIE | WYCENA'!$AL53,1)</f>
        <v>3320-035-905P-WTX250</v>
      </c>
      <c r="C130" s="15">
        <f>'ZAMÓWIENIE | WYCENA'!L53</f>
        <v>0</v>
      </c>
      <c r="D130" s="14">
        <v>1</v>
      </c>
      <c r="E130" s="13"/>
      <c r="F130" s="13"/>
      <c r="G130" s="13"/>
      <c r="H130" s="24">
        <f>IFERROR(IF(COUNTIFS($H$1:H129,H129)&gt;=VLOOKUP(H129,$A$2:$D$309,4,0),IF(H129=MAX($A$2:$A$317),"",Lista!H129+1),H129),"")</f>
        <v>129</v>
      </c>
      <c r="I130" s="22" t="str">
        <f t="shared" ref="I130:I161" si="59">IFERROR(IF(H130=H129,"",VLOOKUP(H130,$A$2:$B$317,2,0)),"")</f>
        <v>3320-035-905P-WTX250</v>
      </c>
      <c r="J130" s="24">
        <f t="shared" ref="J130:J161" si="60">IFERROR(IF(H130=H129,"",VLOOKUP(H130,$A$2:$C$317,3,0)),"")</f>
        <v>0</v>
      </c>
      <c r="K130" s="25">
        <f t="shared" si="46"/>
        <v>0</v>
      </c>
      <c r="L130" s="26">
        <f t="shared" si="47"/>
        <v>0</v>
      </c>
      <c r="M130" s="26">
        <f t="shared" si="36"/>
        <v>0</v>
      </c>
      <c r="N130" s="26" t="str">
        <f t="shared" si="37"/>
        <v>SHO</v>
      </c>
      <c r="O130" s="26" t="str">
        <f t="shared" si="38"/>
        <v>IPT</v>
      </c>
      <c r="P130" s="25" t="str">
        <f t="shared" ca="1" si="39"/>
        <v>ND260415_0</v>
      </c>
      <c r="Q130" s="27" t="str">
        <f t="shared" ca="1" si="48"/>
        <v>2026-04-15</v>
      </c>
      <c r="R130" s="26" t="str">
        <f t="shared" si="49"/>
        <v>PLN</v>
      </c>
      <c r="S130" s="23" t="str">
        <f>IF(H130=1,VLOOKUP(COUNTIF($H$2:H130,H130),Specyfikacja!$A$5:$D$99,2,0),IF(H130=2,VLOOKUP(COUNTIF($H$2:H130,H130),Specyfikacja!$A$5:$K$99,9,0),""))</f>
        <v/>
      </c>
      <c r="T130" s="23" t="str">
        <f>IF(H130=1,VLOOKUP(COUNTIF($H$2:H130,H130),Specyfikacja!$A$5:$D$99,3,0),IF(H130=2,VLOOKUP(COUNTIF($H$2:H130,H130),Specyfikacja!$A$5:$K$99,10,0),""))</f>
        <v/>
      </c>
      <c r="U130" s="23" t="str">
        <f>SUBSTITUTE(SUBSTITUTE(IF(H130=1,VLOOKUP(COUNTIF($H$2:H130,H130),Specyfikacja!$A$5:$D$99,4,0),IF(H130=2,VLOOKUP(COUNTIF($H$2:H130,H130),Specyfikacja!$A$5:$K$99,11,0),"")),"Tak","YES"),"Nie","NO")</f>
        <v/>
      </c>
      <c r="W130" s="646" t="str">
        <f t="shared" ca="1" si="53"/>
        <v>=PODSTAW('ZAMÓWIENIE | WYCENA'!C53;"_";'ZAMÓWIENIE | WYCENA'!$AL53;1)</v>
      </c>
      <c r="X130" s="646">
        <f t="shared" ca="1" si="40"/>
        <v>10</v>
      </c>
      <c r="Y130" s="646">
        <f t="shared" ca="1" si="54"/>
        <v>35</v>
      </c>
      <c r="Z130" s="646" t="str">
        <f t="shared" ca="1" si="55"/>
        <v>'ZAMÓWIENIE | WYCENA'!C53</v>
      </c>
      <c r="AA130" s="647">
        <f t="shared" ca="1" si="58"/>
        <v>101.9</v>
      </c>
      <c r="AB130" s="647">
        <f t="shared" ca="1" si="58"/>
        <v>0</v>
      </c>
      <c r="AC130" s="647">
        <f t="shared" ca="1" si="58"/>
        <v>0</v>
      </c>
      <c r="AD130" s="646" t="str">
        <f t="shared" si="56"/>
        <v>3320-035-905P-WTX250</v>
      </c>
      <c r="AE130" s="648">
        <f t="shared" ca="1" si="57"/>
        <v>101.9</v>
      </c>
    </row>
    <row r="131" spans="1:31" s="7" customFormat="1" ht="12">
      <c r="A131" s="23">
        <v>130</v>
      </c>
      <c r="B131" s="23" t="str">
        <f>SUBSTITUTE('ZAMÓWIENIE | WYCENA'!C54,"_",'ZAMÓWIENIE | WYCENA'!$AL54,1)</f>
        <v>3320-020-905P-WTZ250</v>
      </c>
      <c r="C131" s="15">
        <f>'ZAMÓWIENIE | WYCENA'!L54</f>
        <v>0</v>
      </c>
      <c r="D131" s="14">
        <v>1</v>
      </c>
      <c r="E131" s="13"/>
      <c r="F131" s="13"/>
      <c r="G131" s="13"/>
      <c r="H131" s="24">
        <f>IFERROR(IF(COUNTIFS($H$1:H130,H130)&gt;=VLOOKUP(H130,$A$2:$D$309,4,0),IF(H130=MAX($A$2:$A$317),"",Lista!H130+1),H130),"")</f>
        <v>130</v>
      </c>
      <c r="I131" s="22" t="str">
        <f t="shared" si="59"/>
        <v>3320-020-905P-WTZ250</v>
      </c>
      <c r="J131" s="24">
        <f t="shared" si="60"/>
        <v>0</v>
      </c>
      <c r="K131" s="25">
        <f t="shared" si="46"/>
        <v>0</v>
      </c>
      <c r="L131" s="26">
        <f t="shared" si="47"/>
        <v>0</v>
      </c>
      <c r="M131" s="26">
        <f t="shared" si="36"/>
        <v>0</v>
      </c>
      <c r="N131" s="26" t="str">
        <f t="shared" si="37"/>
        <v>SHO</v>
      </c>
      <c r="O131" s="26" t="str">
        <f t="shared" si="38"/>
        <v>IPT</v>
      </c>
      <c r="P131" s="25" t="str">
        <f t="shared" ca="1" si="39"/>
        <v>ND260415_0</v>
      </c>
      <c r="Q131" s="27" t="str">
        <f t="shared" ca="1" si="48"/>
        <v>2026-04-15</v>
      </c>
      <c r="R131" s="26" t="str">
        <f t="shared" si="49"/>
        <v>PLN</v>
      </c>
      <c r="S131" s="23" t="str">
        <f>IF(H131=1,VLOOKUP(COUNTIF($H$2:H131,H131),Specyfikacja!$A$5:$D$99,2,0),IF(H131=2,VLOOKUP(COUNTIF($H$2:H131,H131),Specyfikacja!$A$5:$K$99,9,0),""))</f>
        <v/>
      </c>
      <c r="T131" s="23" t="str">
        <f>IF(H131=1,VLOOKUP(COUNTIF($H$2:H131,H131),Specyfikacja!$A$5:$D$99,3,0),IF(H131=2,VLOOKUP(COUNTIF($H$2:H131,H131),Specyfikacja!$A$5:$K$99,10,0),""))</f>
        <v/>
      </c>
      <c r="U131" s="23" t="str">
        <f>SUBSTITUTE(SUBSTITUTE(IF(H131=1,VLOOKUP(COUNTIF($H$2:H131,H131),Specyfikacja!$A$5:$D$99,4,0),IF(H131=2,VLOOKUP(COUNTIF($H$2:H131,H131),Specyfikacja!$A$5:$K$99,11,0),"")),"Tak","YES"),"Nie","NO")</f>
        <v/>
      </c>
      <c r="W131" s="646" t="str">
        <f t="shared" ca="1" si="53"/>
        <v>=PODSTAW('ZAMÓWIENIE | WYCENA'!C54;"_";'ZAMÓWIENIE | WYCENA'!$AL54;1)</v>
      </c>
      <c r="X131" s="646">
        <f t="shared" ca="1" si="40"/>
        <v>10</v>
      </c>
      <c r="Y131" s="646">
        <f t="shared" ca="1" si="54"/>
        <v>35</v>
      </c>
      <c r="Z131" s="646" t="str">
        <f t="shared" ca="1" si="55"/>
        <v>'ZAMÓWIENIE | WYCENA'!C54</v>
      </c>
      <c r="AA131" s="647">
        <f t="shared" ca="1" si="58"/>
        <v>101.9</v>
      </c>
      <c r="AB131" s="647">
        <f t="shared" ca="1" si="58"/>
        <v>0</v>
      </c>
      <c r="AC131" s="647">
        <f t="shared" ca="1" si="58"/>
        <v>0</v>
      </c>
      <c r="AD131" s="646" t="str">
        <f t="shared" si="56"/>
        <v>3320-020-905P-WTZ250</v>
      </c>
      <c r="AE131" s="648">
        <f t="shared" ca="1" si="57"/>
        <v>101.9</v>
      </c>
    </row>
    <row r="132" spans="1:31" s="7" customFormat="1" ht="12">
      <c r="A132" s="23">
        <v>131</v>
      </c>
      <c r="B132" s="23" t="str">
        <f>SUBSTITUTE('ZAMÓWIENIE | WYCENA'!C55,"_",'ZAMÓWIENIE | WYCENA'!$AL55,1)</f>
        <v>3320-035-905P-WFR250</v>
      </c>
      <c r="C132" s="15">
        <f>'ZAMÓWIENIE | WYCENA'!L55</f>
        <v>0</v>
      </c>
      <c r="D132" s="14">
        <v>1</v>
      </c>
      <c r="E132" s="13"/>
      <c r="F132" s="13"/>
      <c r="G132" s="13"/>
      <c r="H132" s="24">
        <f>IFERROR(IF(COUNTIFS($H$1:H131,H131)&gt;=VLOOKUP(H131,$A$2:$D$309,4,0),IF(H131=MAX($A$2:$A$317),"",Lista!H131+1),H131),"")</f>
        <v>131</v>
      </c>
      <c r="I132" s="22" t="str">
        <f t="shared" si="59"/>
        <v>3320-035-905P-WFR250</v>
      </c>
      <c r="J132" s="24">
        <f t="shared" si="60"/>
        <v>0</v>
      </c>
      <c r="K132" s="25">
        <f t="shared" si="46"/>
        <v>0</v>
      </c>
      <c r="L132" s="26">
        <f t="shared" si="47"/>
        <v>0</v>
      </c>
      <c r="M132" s="26">
        <f t="shared" ref="M132:M196" si="61">IF(H132=H131,"",IF(H132="","",$F$4))</f>
        <v>0</v>
      </c>
      <c r="N132" s="26" t="str">
        <f t="shared" ref="N132:N196" si="62">IF(H132=H131,"",IF(H132="","",$F$5))</f>
        <v>SHO</v>
      </c>
      <c r="O132" s="26" t="str">
        <f t="shared" ref="O132:O196" si="63">IF(H132=H131,"",IF(H132="","",$F$6))</f>
        <v>IPT</v>
      </c>
      <c r="P132" s="25" t="str">
        <f t="shared" ref="P132:P196" ca="1" si="64">IF(H132=H131,"",IF(H132="","",$F$7))</f>
        <v>ND260415_0</v>
      </c>
      <c r="Q132" s="27" t="str">
        <f t="shared" ca="1" si="48"/>
        <v>2026-04-15</v>
      </c>
      <c r="R132" s="26" t="str">
        <f t="shared" si="49"/>
        <v>PLN</v>
      </c>
      <c r="S132" s="23" t="str">
        <f>IF(H132=1,VLOOKUP(COUNTIF($H$2:H132,H132),Specyfikacja!$A$5:$D$99,2,0),IF(H132=2,VLOOKUP(COUNTIF($H$2:H132,H132),Specyfikacja!$A$5:$K$99,9,0),""))</f>
        <v/>
      </c>
      <c r="T132" s="23" t="str">
        <f>IF(H132=1,VLOOKUP(COUNTIF($H$2:H132,H132),Specyfikacja!$A$5:$D$99,3,0),IF(H132=2,VLOOKUP(COUNTIF($H$2:H132,H132),Specyfikacja!$A$5:$K$99,10,0),""))</f>
        <v/>
      </c>
      <c r="U132" s="23" t="str">
        <f>SUBSTITUTE(SUBSTITUTE(IF(H132=1,VLOOKUP(COUNTIF($H$2:H132,H132),Specyfikacja!$A$5:$D$99,4,0),IF(H132=2,VLOOKUP(COUNTIF($H$2:H132,H132),Specyfikacja!$A$5:$K$99,11,0),"")),"Tak","YES"),"Nie","NO")</f>
        <v/>
      </c>
      <c r="W132" s="646" t="str">
        <f t="shared" ca="1" si="53"/>
        <v>=PODSTAW('ZAMÓWIENIE | WYCENA'!C55;"_";'ZAMÓWIENIE | WYCENA'!$AL55;1)</v>
      </c>
      <c r="X132" s="646">
        <f t="shared" ca="1" si="40"/>
        <v>10</v>
      </c>
      <c r="Y132" s="646">
        <f t="shared" ca="1" si="54"/>
        <v>35</v>
      </c>
      <c r="Z132" s="646" t="str">
        <f t="shared" ca="1" si="55"/>
        <v>'ZAMÓWIENIE | WYCENA'!C55</v>
      </c>
      <c r="AA132" s="647">
        <f t="shared" ca="1" si="58"/>
        <v>55.7</v>
      </c>
      <c r="AB132" s="647">
        <f t="shared" ca="1" si="58"/>
        <v>0</v>
      </c>
      <c r="AC132" s="647">
        <f t="shared" ca="1" si="58"/>
        <v>0</v>
      </c>
      <c r="AD132" s="646" t="str">
        <f t="shared" si="56"/>
        <v>3320-035-905P-WFR250</v>
      </c>
      <c r="AE132" s="648">
        <f t="shared" ca="1" si="57"/>
        <v>55.7</v>
      </c>
    </row>
    <row r="133" spans="1:31" s="7" customFormat="1" ht="12">
      <c r="A133" s="23">
        <v>132</v>
      </c>
      <c r="B133" s="23" t="str">
        <f>SUBSTITUTE('ZAMÓWIENIE | WYCENA'!C56,"_",'ZAMÓWIENIE | WYCENA'!$AL56,1)</f>
        <v>1110-000-905S-RZL000</v>
      </c>
      <c r="C133" s="15">
        <f>'ZAMÓWIENIE | WYCENA'!L56</f>
        <v>0</v>
      </c>
      <c r="D133" s="14">
        <v>1</v>
      </c>
      <c r="E133" s="13"/>
      <c r="F133" s="13"/>
      <c r="G133" s="13"/>
      <c r="H133" s="24">
        <f>IFERROR(IF(COUNTIFS($H$1:H132,H132)&gt;=VLOOKUP(H132,$A$2:$D$309,4,0),IF(H132=MAX($A$2:$A$317),"",Lista!H132+1),H132),"")</f>
        <v>132</v>
      </c>
      <c r="I133" s="22" t="str">
        <f t="shared" si="59"/>
        <v>1110-000-905S-RZL000</v>
      </c>
      <c r="J133" s="24">
        <f t="shared" si="60"/>
        <v>0</v>
      </c>
      <c r="K133" s="25">
        <f t="shared" si="46"/>
        <v>0</v>
      </c>
      <c r="L133" s="26">
        <f t="shared" si="47"/>
        <v>0</v>
      </c>
      <c r="M133" s="26">
        <f t="shared" si="61"/>
        <v>0</v>
      </c>
      <c r="N133" s="26" t="str">
        <f t="shared" si="62"/>
        <v>SHO</v>
      </c>
      <c r="O133" s="26" t="str">
        <f t="shared" si="63"/>
        <v>IPT</v>
      </c>
      <c r="P133" s="25" t="str">
        <f t="shared" ca="1" si="64"/>
        <v>ND260415_0</v>
      </c>
      <c r="Q133" s="27" t="str">
        <f t="shared" ca="1" si="48"/>
        <v>2026-04-15</v>
      </c>
      <c r="R133" s="26" t="str">
        <f t="shared" si="49"/>
        <v>PLN</v>
      </c>
      <c r="S133" s="23" t="str">
        <f>IF(H133=1,VLOOKUP(COUNTIF($H$2:H133,H133),Specyfikacja!$A$5:$D$99,2,0),IF(H133=2,VLOOKUP(COUNTIF($H$2:H133,H133),Specyfikacja!$A$5:$K$99,9,0),""))</f>
        <v/>
      </c>
      <c r="T133" s="23" t="str">
        <f>IF(H133=1,VLOOKUP(COUNTIF($H$2:H133,H133),Specyfikacja!$A$5:$D$99,3,0),IF(H133=2,VLOOKUP(COUNTIF($H$2:H133,H133),Specyfikacja!$A$5:$K$99,10,0),""))</f>
        <v/>
      </c>
      <c r="U133" s="23" t="str">
        <f>SUBSTITUTE(SUBSTITUTE(IF(H133=1,VLOOKUP(COUNTIF($H$2:H133,H133),Specyfikacja!$A$5:$D$99,4,0),IF(H133=2,VLOOKUP(COUNTIF($H$2:H133,H133),Specyfikacja!$A$5:$K$99,11,0),"")),"Tak","YES"),"Nie","NO")</f>
        <v/>
      </c>
      <c r="W133" s="646" t="str">
        <f t="shared" ca="1" si="53"/>
        <v>=PODSTAW('ZAMÓWIENIE | WYCENA'!C56;"_";'ZAMÓWIENIE | WYCENA'!$AL56;1)</v>
      </c>
      <c r="X133" s="646">
        <f t="shared" ref="X133:X178" ca="1" si="65">FIND("'",W133)</f>
        <v>10</v>
      </c>
      <c r="Y133" s="646">
        <f t="shared" ca="1" si="54"/>
        <v>35</v>
      </c>
      <c r="Z133" s="646" t="str">
        <f t="shared" ca="1" si="55"/>
        <v>'ZAMÓWIENIE | WYCENA'!C56</v>
      </c>
      <c r="AA133" s="647">
        <f t="shared" ca="1" si="58"/>
        <v>5.3</v>
      </c>
      <c r="AB133" s="647">
        <f t="shared" ca="1" si="58"/>
        <v>0</v>
      </c>
      <c r="AC133" s="647">
        <f t="shared" ca="1" si="58"/>
        <v>0</v>
      </c>
      <c r="AD133" s="646" t="str">
        <f t="shared" si="56"/>
        <v>1110-000-905S-RZL000</v>
      </c>
      <c r="AE133" s="648">
        <f t="shared" ca="1" si="57"/>
        <v>5.3</v>
      </c>
    </row>
    <row r="134" spans="1:31" s="7" customFormat="1" ht="12">
      <c r="A134" s="23">
        <v>133</v>
      </c>
      <c r="B134" s="23" t="str">
        <f>SUBSTITUTE('ZAMÓWIENIE | WYCENA'!C57,"_",'ZAMÓWIENIE | WYCENA'!$AL57,1)</f>
        <v>1110-000-905S-RZP000</v>
      </c>
      <c r="C134" s="15">
        <f>'ZAMÓWIENIE | WYCENA'!L57</f>
        <v>0</v>
      </c>
      <c r="D134" s="14">
        <v>1</v>
      </c>
      <c r="E134" s="13"/>
      <c r="F134" s="13"/>
      <c r="G134" s="13"/>
      <c r="H134" s="24">
        <f>IFERROR(IF(COUNTIFS($H$1:H133,H133)&gt;=VLOOKUP(H133,$A$2:$D$309,4,0),IF(H133=MAX($A$2:$A$317),"",Lista!H133+1),H133),"")</f>
        <v>133</v>
      </c>
      <c r="I134" s="22" t="str">
        <f t="shared" si="59"/>
        <v>1110-000-905S-RZP000</v>
      </c>
      <c r="J134" s="24">
        <f t="shared" si="60"/>
        <v>0</v>
      </c>
      <c r="K134" s="25">
        <f t="shared" si="46"/>
        <v>0</v>
      </c>
      <c r="L134" s="26">
        <f t="shared" si="47"/>
        <v>0</v>
      </c>
      <c r="M134" s="26">
        <f t="shared" si="61"/>
        <v>0</v>
      </c>
      <c r="N134" s="26" t="str">
        <f t="shared" si="62"/>
        <v>SHO</v>
      </c>
      <c r="O134" s="26" t="str">
        <f t="shared" si="63"/>
        <v>IPT</v>
      </c>
      <c r="P134" s="25" t="str">
        <f t="shared" ca="1" si="64"/>
        <v>ND260415_0</v>
      </c>
      <c r="Q134" s="27" t="str">
        <f t="shared" ca="1" si="48"/>
        <v>2026-04-15</v>
      </c>
      <c r="R134" s="26" t="str">
        <f t="shared" si="49"/>
        <v>PLN</v>
      </c>
      <c r="S134" s="23" t="str">
        <f>IF(H134=1,VLOOKUP(COUNTIF($H$2:H134,H134),Specyfikacja!$A$5:$D$99,2,0),IF(H134=2,VLOOKUP(COUNTIF($H$2:H134,H134),Specyfikacja!$A$5:$K$99,9,0),""))</f>
        <v/>
      </c>
      <c r="T134" s="23" t="str">
        <f>IF(H134=1,VLOOKUP(COUNTIF($H$2:H134,H134),Specyfikacja!$A$5:$D$99,3,0),IF(H134=2,VLOOKUP(COUNTIF($H$2:H134,H134),Specyfikacja!$A$5:$K$99,10,0),""))</f>
        <v/>
      </c>
      <c r="U134" s="23" t="str">
        <f>SUBSTITUTE(SUBSTITUTE(IF(H134=1,VLOOKUP(COUNTIF($H$2:H134,H134),Specyfikacja!$A$5:$D$99,4,0),IF(H134=2,VLOOKUP(COUNTIF($H$2:H134,H134),Specyfikacja!$A$5:$K$99,11,0),"")),"Tak","YES"),"Nie","NO")</f>
        <v/>
      </c>
      <c r="W134" s="646" t="str">
        <f t="shared" ca="1" si="53"/>
        <v>=PODSTAW('ZAMÓWIENIE | WYCENA'!C57;"_";'ZAMÓWIENIE | WYCENA'!$AL57;1)</v>
      </c>
      <c r="X134" s="646">
        <f t="shared" ca="1" si="65"/>
        <v>10</v>
      </c>
      <c r="Y134" s="646">
        <f t="shared" ca="1" si="54"/>
        <v>35</v>
      </c>
      <c r="Z134" s="646" t="str">
        <f ca="1">MID(W134,X134,Y134-X134)</f>
        <v>'ZAMÓWIENIE | WYCENA'!C57</v>
      </c>
      <c r="AA134" s="647">
        <f t="shared" ca="1" si="58"/>
        <v>5.3</v>
      </c>
      <c r="AB134" s="647">
        <f t="shared" ca="1" si="58"/>
        <v>0</v>
      </c>
      <c r="AC134" s="647">
        <f t="shared" ca="1" si="58"/>
        <v>0</v>
      </c>
      <c r="AD134" s="646" t="str">
        <f t="shared" si="56"/>
        <v>1110-000-905S-RZP000</v>
      </c>
      <c r="AE134" s="648">
        <f t="shared" ca="1" si="57"/>
        <v>5.3</v>
      </c>
    </row>
    <row r="135" spans="1:31" s="7" customFormat="1" ht="12">
      <c r="A135" s="23">
        <v>134</v>
      </c>
      <c r="B135" s="23" t="str">
        <f>'ZAMÓWIENIE | WYCENA'!C59</f>
        <v>3340-025-000X-WOR500</v>
      </c>
      <c r="C135" s="15">
        <f>'ZAMÓWIENIE | WYCENA'!F59</f>
        <v>0</v>
      </c>
      <c r="D135" s="14">
        <v>1</v>
      </c>
      <c r="E135" s="13"/>
      <c r="F135" s="13"/>
      <c r="G135" s="13"/>
      <c r="H135" s="24">
        <f>IFERROR(IF(COUNTIFS($H$1:H134,H134)&gt;=VLOOKUP(H134,$A$2:$D$309,4,0),IF(H134=MAX($A$2:$A$317),"",Lista!H134+1),H134),"")</f>
        <v>134</v>
      </c>
      <c r="I135" s="22" t="str">
        <f t="shared" si="59"/>
        <v>3340-025-000X-WOR500</v>
      </c>
      <c r="J135" s="24">
        <f t="shared" si="60"/>
        <v>0</v>
      </c>
      <c r="K135" s="25">
        <f t="shared" si="46"/>
        <v>0</v>
      </c>
      <c r="L135" s="26">
        <f t="shared" si="47"/>
        <v>0</v>
      </c>
      <c r="M135" s="26">
        <f t="shared" si="61"/>
        <v>0</v>
      </c>
      <c r="N135" s="26" t="str">
        <f t="shared" si="62"/>
        <v>SHO</v>
      </c>
      <c r="O135" s="26" t="str">
        <f t="shared" si="63"/>
        <v>IPT</v>
      </c>
      <c r="P135" s="25" t="str">
        <f t="shared" ca="1" si="64"/>
        <v>ND260415_0</v>
      </c>
      <c r="Q135" s="27" t="str">
        <f t="shared" ca="1" si="48"/>
        <v>2026-04-15</v>
      </c>
      <c r="R135" s="26" t="str">
        <f t="shared" si="49"/>
        <v>PLN</v>
      </c>
      <c r="S135" s="23" t="str">
        <f>IF(H135=1,VLOOKUP(COUNTIF($H$2:H135,H135),Specyfikacja!$A$5:$D$99,2,0),IF(H135=2,VLOOKUP(COUNTIF($H$2:H135,H135),Specyfikacja!$A$5:$K$99,9,0),""))</f>
        <v/>
      </c>
      <c r="T135" s="23" t="str">
        <f>IF(H135=1,VLOOKUP(COUNTIF($H$2:H135,H135),Specyfikacja!$A$5:$D$99,3,0),IF(H135=2,VLOOKUP(COUNTIF($H$2:H135,H135),Specyfikacja!$A$5:$K$99,10,0),""))</f>
        <v/>
      </c>
      <c r="U135" s="23" t="str">
        <f>SUBSTITUTE(SUBSTITUTE(IF(H135=1,VLOOKUP(COUNTIF($H$2:H135,H135),Specyfikacja!$A$5:$D$99,4,0),IF(H135=2,VLOOKUP(COUNTIF($H$2:H135,H135),Specyfikacja!$A$5:$K$99,11,0),"")),"Tak","YES"),"Nie","NO")</f>
        <v/>
      </c>
      <c r="W135" s="646" t="str">
        <f ca="1">_xlfn.FORMULATEXT(B135)</f>
        <v>='ZAMÓWIENIE | WYCENA'!C59</v>
      </c>
      <c r="X135" s="646"/>
      <c r="Y135" s="646"/>
      <c r="Z135" s="650" t="s">
        <v>790</v>
      </c>
      <c r="AA135" s="647">
        <f t="shared" ca="1" si="58"/>
        <v>89</v>
      </c>
      <c r="AB135" s="647">
        <f t="shared" ca="1" si="58"/>
        <v>0</v>
      </c>
      <c r="AC135" s="647">
        <f t="shared" ca="1" si="58"/>
        <v>0</v>
      </c>
      <c r="AD135" s="646" t="str">
        <f t="shared" si="56"/>
        <v>3340-025-000X-WOR500</v>
      </c>
      <c r="AE135" s="648">
        <f t="shared" ca="1" si="57"/>
        <v>89</v>
      </c>
    </row>
    <row r="136" spans="1:31" s="7" customFormat="1" ht="12">
      <c r="A136" s="23">
        <v>135</v>
      </c>
      <c r="B136" s="23" t="str">
        <f>'ZAMÓWIENIE | WYCENA'!C60</f>
        <v>2210-019-000X-WPO1000</v>
      </c>
      <c r="C136" s="15">
        <f>'ZAMÓWIENIE | WYCENA'!F60</f>
        <v>0</v>
      </c>
      <c r="D136" s="14">
        <v>1</v>
      </c>
      <c r="E136" s="13"/>
      <c r="F136" s="13"/>
      <c r="G136" s="13"/>
      <c r="H136" s="24">
        <f>IFERROR(IF(COUNTIFS($H$1:H135,H135)&gt;=VLOOKUP(H135,$A$2:$D$309,4,0),IF(H135=MAX($A$2:$A$317),"",Lista!H135+1),H135),"")</f>
        <v>135</v>
      </c>
      <c r="I136" s="22" t="str">
        <f t="shared" si="59"/>
        <v>2210-019-000X-WPO1000</v>
      </c>
      <c r="J136" s="24">
        <f t="shared" si="60"/>
        <v>0</v>
      </c>
      <c r="K136" s="25">
        <f t="shared" si="46"/>
        <v>0</v>
      </c>
      <c r="L136" s="26">
        <f t="shared" si="47"/>
        <v>0</v>
      </c>
      <c r="M136" s="26">
        <f t="shared" si="61"/>
        <v>0</v>
      </c>
      <c r="N136" s="26" t="str">
        <f t="shared" si="62"/>
        <v>SHO</v>
      </c>
      <c r="O136" s="26" t="str">
        <f t="shared" si="63"/>
        <v>IPT</v>
      </c>
      <c r="P136" s="25" t="str">
        <f t="shared" ca="1" si="64"/>
        <v>ND260415_0</v>
      </c>
      <c r="Q136" s="27" t="str">
        <f t="shared" ca="1" si="48"/>
        <v>2026-04-15</v>
      </c>
      <c r="R136" s="26" t="str">
        <f t="shared" si="49"/>
        <v>PLN</v>
      </c>
      <c r="S136" s="23" t="str">
        <f>IF(H136=1,VLOOKUP(COUNTIF($H$2:H136,H136),Specyfikacja!$A$5:$D$99,2,0),IF(H136=2,VLOOKUP(COUNTIF($H$2:H136,H136),Specyfikacja!$A$5:$K$99,9,0),""))</f>
        <v/>
      </c>
      <c r="T136" s="23" t="str">
        <f>IF(H136=1,VLOOKUP(COUNTIF($H$2:H136,H136),Specyfikacja!$A$5:$D$99,3,0),IF(H136=2,VLOOKUP(COUNTIF($H$2:H136,H136),Specyfikacja!$A$5:$K$99,10,0),""))</f>
        <v/>
      </c>
      <c r="U136" s="23" t="str">
        <f>SUBSTITUTE(SUBSTITUTE(IF(H136=1,VLOOKUP(COUNTIF($H$2:H136,H136),Specyfikacja!$A$5:$D$99,4,0),IF(H136=2,VLOOKUP(COUNTIF($H$2:H136,H136),Specyfikacja!$A$5:$K$99,11,0),"")),"Tak","YES"),"Nie","NO")</f>
        <v/>
      </c>
      <c r="W136" s="646" t="str">
        <f t="shared" ca="1" si="53"/>
        <v>='ZAMÓWIENIE | WYCENA'!C60</v>
      </c>
      <c r="X136" s="646"/>
      <c r="Y136" s="646"/>
      <c r="Z136" s="650" t="s">
        <v>791</v>
      </c>
      <c r="AA136" s="647">
        <f t="shared" ca="1" si="58"/>
        <v>167.5</v>
      </c>
      <c r="AB136" s="647">
        <f t="shared" ca="1" si="58"/>
        <v>0</v>
      </c>
      <c r="AC136" s="647">
        <f t="shared" ca="1" si="58"/>
        <v>0</v>
      </c>
      <c r="AD136" s="646" t="str">
        <f t="shared" si="56"/>
        <v>2210-019-000X-WPO1000</v>
      </c>
      <c r="AE136" s="648">
        <f t="shared" ca="1" si="57"/>
        <v>167.5</v>
      </c>
    </row>
    <row r="137" spans="1:31" s="7" customFormat="1" ht="12">
      <c r="A137" s="23">
        <v>136</v>
      </c>
      <c r="B137" s="23" t="str">
        <f>SUBSTITUTE('ZAMÓWIENIE | WYCENA'!C67,"_",'ZAMÓWIENIE | WYCENA'!$K$13,1)</f>
        <v>1111-190-716M-RYN400</v>
      </c>
      <c r="C137" s="15">
        <f>'ZAMÓWIENIE | WYCENA'!K67</f>
        <v>0</v>
      </c>
      <c r="D137" s="14">
        <v>1</v>
      </c>
      <c r="E137" s="13"/>
      <c r="F137" s="13"/>
      <c r="G137" s="13"/>
      <c r="H137" s="24">
        <f>IFERROR(IF(COUNTIFS($H$1:H136,H136)&gt;=VLOOKUP(H136,$A$2:$D$309,4,0),IF(H136=MAX($A$2:$A$317),"",Lista!H136+1),H136),"")</f>
        <v>136</v>
      </c>
      <c r="I137" s="22" t="str">
        <f t="shared" si="59"/>
        <v>1111-190-716M-RYN400</v>
      </c>
      <c r="J137" s="24">
        <f t="shared" si="60"/>
        <v>0</v>
      </c>
      <c r="K137" s="25">
        <f t="shared" si="46"/>
        <v>0</v>
      </c>
      <c r="L137" s="26">
        <f t="shared" si="47"/>
        <v>0</v>
      </c>
      <c r="M137" s="26">
        <f t="shared" si="61"/>
        <v>0</v>
      </c>
      <c r="N137" s="26" t="str">
        <f t="shared" si="62"/>
        <v>SHO</v>
      </c>
      <c r="O137" s="26" t="str">
        <f t="shared" si="63"/>
        <v>IPT</v>
      </c>
      <c r="P137" s="25" t="str">
        <f t="shared" ca="1" si="64"/>
        <v>ND260415_0</v>
      </c>
      <c r="Q137" s="27" t="str">
        <f t="shared" ca="1" si="48"/>
        <v>2026-04-15</v>
      </c>
      <c r="R137" s="26" t="str">
        <f t="shared" si="49"/>
        <v>PLN</v>
      </c>
      <c r="S137" s="23" t="str">
        <f>IF(H137=1,VLOOKUP(COUNTIF($H$2:H137,H137),Specyfikacja!$A$5:$D$99,2,0),IF(H137=2,VLOOKUP(COUNTIF($H$2:H137,H137),Specyfikacja!$A$5:$K$99,9,0),""))</f>
        <v/>
      </c>
      <c r="T137" s="23" t="str">
        <f>IF(H137=1,VLOOKUP(COUNTIF($H$2:H137,H137),Specyfikacja!$A$5:$D$99,3,0),IF(H137=2,VLOOKUP(COUNTIF($H$2:H137,H137),Specyfikacja!$A$5:$K$99,10,0),""))</f>
        <v/>
      </c>
      <c r="U137" s="23" t="str">
        <f>SUBSTITUTE(SUBSTITUTE(IF(H137=1,VLOOKUP(COUNTIF($H$2:H137,H137),Specyfikacja!$A$5:$D$99,4,0),IF(H137=2,VLOOKUP(COUNTIF($H$2:H137,H137),Specyfikacja!$A$5:$K$99,11,0),"")),"Tak","YES"),"Nie","NO")</f>
        <v/>
      </c>
      <c r="W137" s="646" t="str">
        <f t="shared" ca="1" si="53"/>
        <v>=PODSTAW('ZAMÓWIENIE | WYCENA'!C67;"_";'ZAMÓWIENIE | WYCENA'!$K$13;1)</v>
      </c>
      <c r="X137" s="646">
        <f t="shared" ca="1" si="65"/>
        <v>10</v>
      </c>
      <c r="Y137" s="646">
        <f t="shared" ca="1" si="54"/>
        <v>35</v>
      </c>
      <c r="Z137" s="646" t="str">
        <f t="shared" ca="1" si="55"/>
        <v>'ZAMÓWIENIE | WYCENA'!C67</v>
      </c>
      <c r="AA137" s="647">
        <f t="shared" ca="1" si="58"/>
        <v>0</v>
      </c>
      <c r="AB137" s="647">
        <f t="shared" ca="1" si="58"/>
        <v>0</v>
      </c>
      <c r="AC137" s="647">
        <f t="shared" ca="1" si="58"/>
        <v>211.3</v>
      </c>
      <c r="AD137" s="646" t="str">
        <f t="shared" si="56"/>
        <v>1111-190-716M-RYN400</v>
      </c>
      <c r="AE137" s="648">
        <f t="shared" ca="1" si="57"/>
        <v>211.3</v>
      </c>
    </row>
    <row r="138" spans="1:31" s="7" customFormat="1" ht="12">
      <c r="A138" s="23">
        <v>137</v>
      </c>
      <c r="B138" s="23" t="str">
        <f>SUBSTITUTE('ZAMÓWIENIE | WYCENA'!C68,"_",'ZAMÓWIENIE | WYCENA'!$K$13,1)</f>
        <v>1111-190-716M-RYL058</v>
      </c>
      <c r="C138" s="15">
        <f>'ZAMÓWIENIE | WYCENA'!K68</f>
        <v>0</v>
      </c>
      <c r="D138" s="14">
        <v>1</v>
      </c>
      <c r="E138" s="13"/>
      <c r="F138" s="13"/>
      <c r="G138" s="13"/>
      <c r="H138" s="24">
        <f>IFERROR(IF(COUNTIFS($H$1:H137,H137)&gt;=VLOOKUP(H137,$A$2:$D$309,4,0),IF(H137=MAX($A$2:$A$317),"",Lista!H137+1),H137),"")</f>
        <v>137</v>
      </c>
      <c r="I138" s="22" t="str">
        <f t="shared" si="59"/>
        <v>1111-190-716M-RYL058</v>
      </c>
      <c r="J138" s="24">
        <f t="shared" si="60"/>
        <v>0</v>
      </c>
      <c r="K138" s="25">
        <f t="shared" si="46"/>
        <v>0</v>
      </c>
      <c r="L138" s="26">
        <f t="shared" si="47"/>
        <v>0</v>
      </c>
      <c r="M138" s="26">
        <f t="shared" si="61"/>
        <v>0</v>
      </c>
      <c r="N138" s="26" t="str">
        <f t="shared" si="62"/>
        <v>SHO</v>
      </c>
      <c r="O138" s="26" t="str">
        <f t="shared" si="63"/>
        <v>IPT</v>
      </c>
      <c r="P138" s="25" t="str">
        <f t="shared" ca="1" si="64"/>
        <v>ND260415_0</v>
      </c>
      <c r="Q138" s="27" t="str">
        <f t="shared" ca="1" si="48"/>
        <v>2026-04-15</v>
      </c>
      <c r="R138" s="26" t="str">
        <f t="shared" si="49"/>
        <v>PLN</v>
      </c>
      <c r="S138" s="23" t="str">
        <f>IF(H138=1,VLOOKUP(COUNTIF($H$2:H138,H138),Specyfikacja!$A$5:$D$99,2,0),IF(H138=2,VLOOKUP(COUNTIF($H$2:H138,H138),Specyfikacja!$A$5:$K$99,9,0),""))</f>
        <v/>
      </c>
      <c r="T138" s="23" t="str">
        <f>IF(H138=1,VLOOKUP(COUNTIF($H$2:H138,H138),Specyfikacja!$A$5:$D$99,3,0),IF(H138=2,VLOOKUP(COUNTIF($H$2:H138,H138),Specyfikacja!$A$5:$K$99,10,0),""))</f>
        <v/>
      </c>
      <c r="U138" s="23" t="str">
        <f>SUBSTITUTE(SUBSTITUTE(IF(H138=1,VLOOKUP(COUNTIF($H$2:H138,H138),Specyfikacja!$A$5:$D$99,4,0),IF(H138=2,VLOOKUP(COUNTIF($H$2:H138,H138),Specyfikacja!$A$5:$K$99,11,0),"")),"Tak","YES"),"Nie","NO")</f>
        <v/>
      </c>
      <c r="W138" s="646" t="str">
        <f t="shared" ca="1" si="53"/>
        <v>=PODSTAW('ZAMÓWIENIE | WYCENA'!C68;"_";'ZAMÓWIENIE | WYCENA'!$K$13;1)</v>
      </c>
      <c r="X138" s="646">
        <f t="shared" ca="1" si="65"/>
        <v>10</v>
      </c>
      <c r="Y138" s="646">
        <f t="shared" ca="1" si="54"/>
        <v>35</v>
      </c>
      <c r="Z138" s="646" t="str">
        <f t="shared" ca="1" si="55"/>
        <v>'ZAMÓWIENIE | WYCENA'!C68</v>
      </c>
      <c r="AA138" s="647">
        <f t="shared" ca="1" si="58"/>
        <v>0</v>
      </c>
      <c r="AB138" s="647">
        <f t="shared" ca="1" si="58"/>
        <v>0</v>
      </c>
      <c r="AC138" s="647">
        <f t="shared" ca="1" si="58"/>
        <v>70.5</v>
      </c>
      <c r="AD138" s="646" t="str">
        <f t="shared" si="56"/>
        <v>1111-190-716M-RYL058</v>
      </c>
      <c r="AE138" s="648">
        <f t="shared" ca="1" si="57"/>
        <v>70.5</v>
      </c>
    </row>
    <row r="139" spans="1:31" s="7" customFormat="1" ht="12">
      <c r="A139" s="23">
        <v>138</v>
      </c>
      <c r="B139" s="23" t="str">
        <f>SUBSTITUTE('ZAMÓWIENIE | WYCENA'!C69,"_",'ZAMÓWIENIE | WYCENA'!$K$13,1)</f>
        <v>1111-190-716M-WSP004</v>
      </c>
      <c r="C139" s="15">
        <f>'ZAMÓWIENIE | WYCENA'!K69</f>
        <v>0</v>
      </c>
      <c r="D139" s="14">
        <v>1</v>
      </c>
      <c r="E139" s="13"/>
      <c r="F139" s="13"/>
      <c r="G139" s="13"/>
      <c r="H139" s="24">
        <f>IFERROR(IF(COUNTIFS($H$1:H138,H138)&gt;=VLOOKUP(H138,$A$2:$D$309,4,0),IF(H138=MAX($A$2:$A$317),"",Lista!H138+1),H138),"")</f>
        <v>138</v>
      </c>
      <c r="I139" s="22" t="str">
        <f t="shared" si="59"/>
        <v>1111-190-716M-WSP004</v>
      </c>
      <c r="J139" s="24">
        <f t="shared" si="60"/>
        <v>0</v>
      </c>
      <c r="K139" s="25">
        <f t="shared" si="46"/>
        <v>0</v>
      </c>
      <c r="L139" s="26">
        <f t="shared" si="47"/>
        <v>0</v>
      </c>
      <c r="M139" s="26">
        <f t="shared" si="61"/>
        <v>0</v>
      </c>
      <c r="N139" s="26" t="str">
        <f t="shared" si="62"/>
        <v>SHO</v>
      </c>
      <c r="O139" s="26" t="str">
        <f t="shared" si="63"/>
        <v>IPT</v>
      </c>
      <c r="P139" s="25" t="str">
        <f t="shared" ca="1" si="64"/>
        <v>ND260415_0</v>
      </c>
      <c r="Q139" s="27" t="str">
        <f t="shared" ca="1" si="48"/>
        <v>2026-04-15</v>
      </c>
      <c r="R139" s="26" t="str">
        <f t="shared" si="49"/>
        <v>PLN</v>
      </c>
      <c r="S139" s="23" t="str">
        <f>IF(H139=1,VLOOKUP(COUNTIF($H$2:H139,H139),Specyfikacja!$A$5:$D$99,2,0),IF(H139=2,VLOOKUP(COUNTIF($H$2:H139,H139),Specyfikacja!$A$5:$K$99,9,0),""))</f>
        <v/>
      </c>
      <c r="T139" s="23" t="str">
        <f>IF(H139=1,VLOOKUP(COUNTIF($H$2:H139,H139),Specyfikacja!$A$5:$D$99,3,0),IF(H139=2,VLOOKUP(COUNTIF($H$2:H139,H139),Specyfikacja!$A$5:$K$99,10,0),""))</f>
        <v/>
      </c>
      <c r="U139" s="23" t="str">
        <f>SUBSTITUTE(SUBSTITUTE(IF(H139=1,VLOOKUP(COUNTIF($H$2:H139,H139),Specyfikacja!$A$5:$D$99,4,0),IF(H139=2,VLOOKUP(COUNTIF($H$2:H139,H139),Specyfikacja!$A$5:$K$99,11,0),"")),"Tak","YES"),"Nie","NO")</f>
        <v/>
      </c>
      <c r="W139" s="646" t="str">
        <f t="shared" ca="1" si="53"/>
        <v>=PODSTAW('ZAMÓWIENIE | WYCENA'!C69;"_";'ZAMÓWIENIE | WYCENA'!$K$13;1)</v>
      </c>
      <c r="X139" s="646">
        <f t="shared" ca="1" si="65"/>
        <v>10</v>
      </c>
      <c r="Y139" s="646">
        <f t="shared" ca="1" si="54"/>
        <v>35</v>
      </c>
      <c r="Z139" s="646" t="str">
        <f t="shared" ca="1" si="55"/>
        <v>'ZAMÓWIENIE | WYCENA'!C69</v>
      </c>
      <c r="AA139" s="647">
        <f t="shared" ca="1" si="58"/>
        <v>0</v>
      </c>
      <c r="AB139" s="647">
        <f t="shared" ca="1" si="58"/>
        <v>0</v>
      </c>
      <c r="AC139" s="647">
        <f t="shared" ca="1" si="58"/>
        <v>23.1</v>
      </c>
      <c r="AD139" s="646" t="str">
        <f t="shared" si="56"/>
        <v>1111-190-716M-WSP004</v>
      </c>
      <c r="AE139" s="648">
        <f t="shared" ca="1" si="57"/>
        <v>23.1</v>
      </c>
    </row>
    <row r="140" spans="1:31" s="7" customFormat="1" ht="12">
      <c r="A140" s="23">
        <v>139</v>
      </c>
      <c r="B140" s="23" t="str">
        <f>SUBSTITUTE('ZAMÓWIENIE | WYCENA'!C70,"_",'ZAMÓWIENIE | WYCENA'!$K$13,1)</f>
        <v>1111-190-716M-OPO080</v>
      </c>
      <c r="C140" s="15">
        <f>'ZAMÓWIENIE | WYCENA'!K70</f>
        <v>0</v>
      </c>
      <c r="D140" s="14">
        <v>1</v>
      </c>
      <c r="E140" s="13"/>
      <c r="F140" s="13"/>
      <c r="G140" s="13"/>
      <c r="H140" s="24">
        <f>IFERROR(IF(COUNTIFS($H$1:H139,H139)&gt;=VLOOKUP(H139,$A$2:$D$309,4,0),IF(H139=MAX($A$2:$A$317),"",Lista!H139+1),H139),"")</f>
        <v>139</v>
      </c>
      <c r="I140" s="22" t="str">
        <f t="shared" si="59"/>
        <v>1111-190-716M-OPO080</v>
      </c>
      <c r="J140" s="24">
        <f t="shared" si="60"/>
        <v>0</v>
      </c>
      <c r="K140" s="25">
        <f t="shared" si="46"/>
        <v>0</v>
      </c>
      <c r="L140" s="26">
        <f t="shared" si="47"/>
        <v>0</v>
      </c>
      <c r="M140" s="26">
        <f t="shared" si="61"/>
        <v>0</v>
      </c>
      <c r="N140" s="26" t="str">
        <f t="shared" si="62"/>
        <v>SHO</v>
      </c>
      <c r="O140" s="26" t="str">
        <f t="shared" si="63"/>
        <v>IPT</v>
      </c>
      <c r="P140" s="25" t="str">
        <f t="shared" ca="1" si="64"/>
        <v>ND260415_0</v>
      </c>
      <c r="Q140" s="27" t="str">
        <f t="shared" ca="1" si="48"/>
        <v>2026-04-15</v>
      </c>
      <c r="R140" s="26" t="str">
        <f t="shared" si="49"/>
        <v>PLN</v>
      </c>
      <c r="S140" s="23" t="str">
        <f>IF(H140=1,VLOOKUP(COUNTIF($H$2:H140,H140),Specyfikacja!$A$5:$D$99,2,0),IF(H140=2,VLOOKUP(COUNTIF($H$2:H140,H140),Specyfikacja!$A$5:$K$99,9,0),""))</f>
        <v/>
      </c>
      <c r="T140" s="23" t="str">
        <f>IF(H140=1,VLOOKUP(COUNTIF($H$2:H140,H140),Specyfikacja!$A$5:$D$99,3,0),IF(H140=2,VLOOKUP(COUNTIF($H$2:H140,H140),Specyfikacja!$A$5:$K$99,10,0),""))</f>
        <v/>
      </c>
      <c r="U140" s="23" t="str">
        <f>SUBSTITUTE(SUBSTITUTE(IF(H140=1,VLOOKUP(COUNTIF($H$2:H140,H140),Specyfikacja!$A$5:$D$99,4,0),IF(H140=2,VLOOKUP(COUNTIF($H$2:H140,H140),Specyfikacja!$A$5:$K$99,11,0),"")),"Tak","YES"),"Nie","NO")</f>
        <v/>
      </c>
      <c r="W140" s="646" t="str">
        <f t="shared" ca="1" si="53"/>
        <v>=PODSTAW('ZAMÓWIENIE | WYCENA'!C70;"_";'ZAMÓWIENIE | WYCENA'!$K$13;1)</v>
      </c>
      <c r="X140" s="646">
        <f t="shared" ca="1" si="65"/>
        <v>10</v>
      </c>
      <c r="Y140" s="646">
        <f t="shared" ca="1" si="54"/>
        <v>35</v>
      </c>
      <c r="Z140" s="646" t="str">
        <f t="shared" ca="1" si="55"/>
        <v>'ZAMÓWIENIE | WYCENA'!C70</v>
      </c>
      <c r="AA140" s="647">
        <f t="shared" ca="1" si="58"/>
        <v>0</v>
      </c>
      <c r="AB140" s="647">
        <f t="shared" ca="1" si="58"/>
        <v>0</v>
      </c>
      <c r="AC140" s="647">
        <f t="shared" ca="1" si="58"/>
        <v>82.7</v>
      </c>
      <c r="AD140" s="646" t="str">
        <f t="shared" si="56"/>
        <v>1111-190-716M-OPO080</v>
      </c>
      <c r="AE140" s="648">
        <f t="shared" ca="1" si="57"/>
        <v>82.7</v>
      </c>
    </row>
    <row r="141" spans="1:31" s="7" customFormat="1" ht="12">
      <c r="A141" s="23">
        <v>140</v>
      </c>
      <c r="B141" s="23" t="str">
        <f>SUBSTITUTE('ZAMÓWIENIE | WYCENA'!C72,"_",'ZAMÓWIENIE | WYCENA'!$K$13,1)</f>
        <v>1111-190-716M-ZUS000</v>
      </c>
      <c r="C141" s="15">
        <f>'ZAMÓWIENIE | WYCENA'!K72</f>
        <v>0</v>
      </c>
      <c r="D141" s="14">
        <v>1</v>
      </c>
      <c r="E141" s="13"/>
      <c r="F141" s="13"/>
      <c r="G141" s="13"/>
      <c r="H141" s="24">
        <f>IFERROR(IF(COUNTIFS($H$1:H140,H140)&gt;=VLOOKUP(H140,$A$2:$D$309,4,0),IF(H140=MAX($A$2:$A$317),"",Lista!H140+1),H140),"")</f>
        <v>140</v>
      </c>
      <c r="I141" s="22" t="str">
        <f t="shared" si="59"/>
        <v>1111-190-716M-ZUS000</v>
      </c>
      <c r="J141" s="24">
        <f t="shared" si="60"/>
        <v>0</v>
      </c>
      <c r="K141" s="25">
        <f t="shared" si="46"/>
        <v>0</v>
      </c>
      <c r="L141" s="26">
        <f t="shared" si="47"/>
        <v>0</v>
      </c>
      <c r="M141" s="26">
        <f t="shared" si="61"/>
        <v>0</v>
      </c>
      <c r="N141" s="26" t="str">
        <f t="shared" si="62"/>
        <v>SHO</v>
      </c>
      <c r="O141" s="26" t="str">
        <f t="shared" si="63"/>
        <v>IPT</v>
      </c>
      <c r="P141" s="25" t="str">
        <f t="shared" ca="1" si="64"/>
        <v>ND260415_0</v>
      </c>
      <c r="Q141" s="27" t="str">
        <f t="shared" ca="1" si="48"/>
        <v>2026-04-15</v>
      </c>
      <c r="R141" s="26" t="str">
        <f t="shared" si="49"/>
        <v>PLN</v>
      </c>
      <c r="S141" s="23" t="str">
        <f>IF(H141=1,VLOOKUP(COUNTIF($H$2:H141,H141),Specyfikacja!$A$5:$D$99,2,0),IF(H141=2,VLOOKUP(COUNTIF($H$2:H141,H141),Specyfikacja!$A$5:$K$99,9,0),""))</f>
        <v/>
      </c>
      <c r="T141" s="23" t="str">
        <f>IF(H141=1,VLOOKUP(COUNTIF($H$2:H141,H141),Specyfikacja!$A$5:$D$99,3,0),IF(H141=2,VLOOKUP(COUNTIF($H$2:H141,H141),Specyfikacja!$A$5:$K$99,10,0),""))</f>
        <v/>
      </c>
      <c r="U141" s="23" t="str">
        <f>SUBSTITUTE(SUBSTITUTE(IF(H141=1,VLOOKUP(COUNTIF($H$2:H141,H141),Specyfikacja!$A$5:$D$99,4,0),IF(H141=2,VLOOKUP(COUNTIF($H$2:H141,H141),Specyfikacja!$A$5:$K$99,11,0),"")),"Tak","YES"),"Nie","NO")</f>
        <v/>
      </c>
      <c r="W141" s="646" t="str">
        <f t="shared" ca="1" si="53"/>
        <v>=PODSTAW('ZAMÓWIENIE | WYCENA'!C72;"_";'ZAMÓWIENIE | WYCENA'!$K$13;1)</v>
      </c>
      <c r="X141" s="646">
        <f t="shared" ca="1" si="65"/>
        <v>10</v>
      </c>
      <c r="Y141" s="646">
        <f t="shared" ca="1" si="54"/>
        <v>35</v>
      </c>
      <c r="Z141" s="646" t="str">
        <f t="shared" ca="1" si="55"/>
        <v>'ZAMÓWIENIE | WYCENA'!C72</v>
      </c>
      <c r="AA141" s="647">
        <f t="shared" ca="1" si="58"/>
        <v>0</v>
      </c>
      <c r="AB141" s="647">
        <f t="shared" ca="1" si="58"/>
        <v>0</v>
      </c>
      <c r="AC141" s="647">
        <f t="shared" ca="1" si="58"/>
        <v>64.599999999999994</v>
      </c>
      <c r="AD141" s="646" t="str">
        <f t="shared" si="56"/>
        <v>1111-190-716M-ZUS000</v>
      </c>
      <c r="AE141" s="648">
        <f t="shared" ca="1" si="57"/>
        <v>64.599999999999994</v>
      </c>
    </row>
    <row r="142" spans="1:31" s="7" customFormat="1" ht="12">
      <c r="A142" s="23">
        <v>141</v>
      </c>
      <c r="B142" s="23" t="str">
        <f>SUBSTITUTE('ZAMÓWIENIE | WYCENA'!C67,"_",'ZAMÓWIENIE | WYCENA'!$L$13,1)</f>
        <v>1111-190-905M-RYN400</v>
      </c>
      <c r="C142" s="15">
        <f>'ZAMÓWIENIE | WYCENA'!L67</f>
        <v>0</v>
      </c>
      <c r="D142" s="14">
        <v>1</v>
      </c>
      <c r="E142" s="13"/>
      <c r="F142" s="13"/>
      <c r="G142" s="13"/>
      <c r="H142" s="24">
        <f>IFERROR(IF(COUNTIFS($H$1:H141,H141)&gt;=VLOOKUP(H141,$A$2:$D$309,4,0),IF(H141=MAX($A$2:$A$317),"",Lista!H141+1),H141),"")</f>
        <v>141</v>
      </c>
      <c r="I142" s="22" t="str">
        <f t="shared" si="59"/>
        <v>1111-190-905M-RYN400</v>
      </c>
      <c r="J142" s="24">
        <f t="shared" si="60"/>
        <v>0</v>
      </c>
      <c r="K142" s="25">
        <f t="shared" si="46"/>
        <v>0</v>
      </c>
      <c r="L142" s="26">
        <f t="shared" si="47"/>
        <v>0</v>
      </c>
      <c r="M142" s="26">
        <f t="shared" si="61"/>
        <v>0</v>
      </c>
      <c r="N142" s="26" t="str">
        <f t="shared" si="62"/>
        <v>SHO</v>
      </c>
      <c r="O142" s="26" t="str">
        <f t="shared" si="63"/>
        <v>IPT</v>
      </c>
      <c r="P142" s="25" t="str">
        <f t="shared" ca="1" si="64"/>
        <v>ND260415_0</v>
      </c>
      <c r="Q142" s="27" t="str">
        <f t="shared" ca="1" si="48"/>
        <v>2026-04-15</v>
      </c>
      <c r="R142" s="26" t="str">
        <f t="shared" si="49"/>
        <v>PLN</v>
      </c>
      <c r="S142" s="23" t="str">
        <f>IF(H142=1,VLOOKUP(COUNTIF($H$2:H142,H142),Specyfikacja!$A$5:$D$99,2,0),IF(H142=2,VLOOKUP(COUNTIF($H$2:H142,H142),Specyfikacja!$A$5:$K$99,9,0),""))</f>
        <v/>
      </c>
      <c r="T142" s="23" t="str">
        <f>IF(H142=1,VLOOKUP(COUNTIF($H$2:H142,H142),Specyfikacja!$A$5:$D$99,3,0),IF(H142=2,VLOOKUP(COUNTIF($H$2:H142,H142),Specyfikacja!$A$5:$K$99,10,0),""))</f>
        <v/>
      </c>
      <c r="U142" s="23" t="str">
        <f>SUBSTITUTE(SUBSTITUTE(IF(H142=1,VLOOKUP(COUNTIF($H$2:H142,H142),Specyfikacja!$A$5:$D$99,4,0),IF(H142=2,VLOOKUP(COUNTIF($H$2:H142,H142),Specyfikacja!$A$5:$K$99,11,0),"")),"Tak","YES"),"Nie","NO")</f>
        <v/>
      </c>
      <c r="W142" s="646" t="str">
        <f t="shared" ca="1" si="53"/>
        <v>=PODSTAW('ZAMÓWIENIE | WYCENA'!C67;"_";'ZAMÓWIENIE | WYCENA'!$L$13;1)</v>
      </c>
      <c r="X142" s="646">
        <f t="shared" ca="1" si="65"/>
        <v>10</v>
      </c>
      <c r="Y142" s="646">
        <f t="shared" ca="1" si="54"/>
        <v>35</v>
      </c>
      <c r="Z142" s="646" t="str">
        <f t="shared" ca="1" si="55"/>
        <v>'ZAMÓWIENIE | WYCENA'!C67</v>
      </c>
      <c r="AA142" s="647">
        <f t="shared" ca="1" si="58"/>
        <v>0</v>
      </c>
      <c r="AB142" s="647">
        <f t="shared" ca="1" si="58"/>
        <v>0</v>
      </c>
      <c r="AC142" s="647">
        <f t="shared" ca="1" si="58"/>
        <v>211.3</v>
      </c>
      <c r="AD142" s="646" t="str">
        <f t="shared" si="56"/>
        <v>1111-190-905M-RYN400</v>
      </c>
      <c r="AE142" s="648">
        <f t="shared" ca="1" si="57"/>
        <v>211.3</v>
      </c>
    </row>
    <row r="143" spans="1:31" s="7" customFormat="1" ht="12">
      <c r="A143" s="23">
        <v>142</v>
      </c>
      <c r="B143" s="23" t="str">
        <f>SUBSTITUTE('ZAMÓWIENIE | WYCENA'!C68,"_",'ZAMÓWIENIE | WYCENA'!$L$13,1)</f>
        <v>1111-190-905M-RYL058</v>
      </c>
      <c r="C143" s="15">
        <f>'ZAMÓWIENIE | WYCENA'!L68</f>
        <v>0</v>
      </c>
      <c r="D143" s="14">
        <v>1</v>
      </c>
      <c r="E143" s="13"/>
      <c r="F143" s="13"/>
      <c r="G143" s="13"/>
      <c r="H143" s="24">
        <f>IFERROR(IF(COUNTIFS($H$1:H142,H142)&gt;=VLOOKUP(H142,$A$2:$D$309,4,0),IF(H142=MAX($A$2:$A$317),"",Lista!H142+1),H142),"")</f>
        <v>142</v>
      </c>
      <c r="I143" s="22" t="str">
        <f t="shared" si="59"/>
        <v>1111-190-905M-RYL058</v>
      </c>
      <c r="J143" s="24">
        <f t="shared" si="60"/>
        <v>0</v>
      </c>
      <c r="K143" s="25">
        <f t="shared" si="46"/>
        <v>0</v>
      </c>
      <c r="L143" s="26">
        <f t="shared" si="47"/>
        <v>0</v>
      </c>
      <c r="M143" s="26">
        <f t="shared" si="61"/>
        <v>0</v>
      </c>
      <c r="N143" s="26" t="str">
        <f t="shared" si="62"/>
        <v>SHO</v>
      </c>
      <c r="O143" s="26" t="str">
        <f t="shared" si="63"/>
        <v>IPT</v>
      </c>
      <c r="P143" s="25" t="str">
        <f t="shared" ca="1" si="64"/>
        <v>ND260415_0</v>
      </c>
      <c r="Q143" s="27" t="str">
        <f t="shared" ca="1" si="48"/>
        <v>2026-04-15</v>
      </c>
      <c r="R143" s="26" t="str">
        <f t="shared" si="49"/>
        <v>PLN</v>
      </c>
      <c r="S143" s="23" t="str">
        <f>IF(H143=1,VLOOKUP(COUNTIF($H$2:H143,H143),Specyfikacja!$A$5:$D$99,2,0),IF(H143=2,VLOOKUP(COUNTIF($H$2:H143,H143),Specyfikacja!$A$5:$K$99,9,0),""))</f>
        <v/>
      </c>
      <c r="T143" s="23" t="str">
        <f>IF(H143=1,VLOOKUP(COUNTIF($H$2:H143,H143),Specyfikacja!$A$5:$D$99,3,0),IF(H143=2,VLOOKUP(COUNTIF($H$2:H143,H143),Specyfikacja!$A$5:$K$99,10,0),""))</f>
        <v/>
      </c>
      <c r="U143" s="23" t="str">
        <f>SUBSTITUTE(SUBSTITUTE(IF(H143=1,VLOOKUP(COUNTIF($H$2:H143,H143),Specyfikacja!$A$5:$D$99,4,0),IF(H143=2,VLOOKUP(COUNTIF($H$2:H143,H143),Specyfikacja!$A$5:$K$99,11,0),"")),"Tak","YES"),"Nie","NO")</f>
        <v/>
      </c>
      <c r="W143" s="646" t="str">
        <f t="shared" ca="1" si="53"/>
        <v>=PODSTAW('ZAMÓWIENIE | WYCENA'!C68;"_";'ZAMÓWIENIE | WYCENA'!$L$13;1)</v>
      </c>
      <c r="X143" s="646">
        <f t="shared" ca="1" si="65"/>
        <v>10</v>
      </c>
      <c r="Y143" s="646">
        <f t="shared" ca="1" si="54"/>
        <v>35</v>
      </c>
      <c r="Z143" s="646" t="str">
        <f t="shared" ca="1" si="55"/>
        <v>'ZAMÓWIENIE | WYCENA'!C68</v>
      </c>
      <c r="AA143" s="647">
        <f t="shared" ca="1" si="58"/>
        <v>0</v>
      </c>
      <c r="AB143" s="647">
        <f t="shared" ca="1" si="58"/>
        <v>0</v>
      </c>
      <c r="AC143" s="647">
        <f t="shared" ca="1" si="58"/>
        <v>70.5</v>
      </c>
      <c r="AD143" s="646" t="str">
        <f t="shared" si="56"/>
        <v>1111-190-905M-RYL058</v>
      </c>
      <c r="AE143" s="648">
        <f t="shared" ca="1" si="57"/>
        <v>70.5</v>
      </c>
    </row>
    <row r="144" spans="1:31" s="7" customFormat="1" ht="12">
      <c r="A144" s="23">
        <v>143</v>
      </c>
      <c r="B144" s="23" t="str">
        <f>SUBSTITUTE('ZAMÓWIENIE | WYCENA'!C69,"_",'ZAMÓWIENIE | WYCENA'!$L$13,1)</f>
        <v>1111-190-905M-WSP004</v>
      </c>
      <c r="C144" s="15">
        <f>'ZAMÓWIENIE | WYCENA'!L69</f>
        <v>0</v>
      </c>
      <c r="D144" s="14">
        <v>1</v>
      </c>
      <c r="E144" s="13"/>
      <c r="F144" s="13"/>
      <c r="G144" s="13"/>
      <c r="H144" s="24">
        <f>IFERROR(IF(COUNTIFS($H$1:H143,H143)&gt;=VLOOKUP(H143,$A$2:$D$309,4,0),IF(H143=MAX($A$2:$A$317),"",Lista!H143+1),H143),"")</f>
        <v>143</v>
      </c>
      <c r="I144" s="22" t="str">
        <f t="shared" si="59"/>
        <v>1111-190-905M-WSP004</v>
      </c>
      <c r="J144" s="24">
        <f t="shared" si="60"/>
        <v>0</v>
      </c>
      <c r="K144" s="25">
        <f t="shared" ref="K144:K208" si="66">IF(H144=H143,"",IF(H144="","",$F$2))</f>
        <v>0</v>
      </c>
      <c r="L144" s="26">
        <f t="shared" ref="L144:L208" si="67">IF(H144=H143,"",IF(H144="","",$F$3))</f>
        <v>0</v>
      </c>
      <c r="M144" s="26">
        <f t="shared" si="61"/>
        <v>0</v>
      </c>
      <c r="N144" s="26" t="str">
        <f t="shared" si="62"/>
        <v>SHO</v>
      </c>
      <c r="O144" s="26" t="str">
        <f t="shared" si="63"/>
        <v>IPT</v>
      </c>
      <c r="P144" s="25" t="str">
        <f t="shared" ca="1" si="64"/>
        <v>ND260415_0</v>
      </c>
      <c r="Q144" s="27" t="str">
        <f t="shared" ref="Q144:Q208" ca="1" si="68">IF(H144=H143,"",IF(H144="","",$F$8))</f>
        <v>2026-04-15</v>
      </c>
      <c r="R144" s="26" t="str">
        <f t="shared" ref="R144:R208" si="69">IF(H144=H143,"",IF(H144="","",$F$9))</f>
        <v>PLN</v>
      </c>
      <c r="S144" s="23" t="str">
        <f>IF(H144=1,VLOOKUP(COUNTIF($H$2:H144,H144),Specyfikacja!$A$5:$D$99,2,0),IF(H144=2,VLOOKUP(COUNTIF($H$2:H144,H144),Specyfikacja!$A$5:$K$99,9,0),""))</f>
        <v/>
      </c>
      <c r="T144" s="23" t="str">
        <f>IF(H144=1,VLOOKUP(COUNTIF($H$2:H144,H144),Specyfikacja!$A$5:$D$99,3,0),IF(H144=2,VLOOKUP(COUNTIF($H$2:H144,H144),Specyfikacja!$A$5:$K$99,10,0),""))</f>
        <v/>
      </c>
      <c r="U144" s="23" t="str">
        <f>SUBSTITUTE(SUBSTITUTE(IF(H144=1,VLOOKUP(COUNTIF($H$2:H144,H144),Specyfikacja!$A$5:$D$99,4,0),IF(H144=2,VLOOKUP(COUNTIF($H$2:H144,H144),Specyfikacja!$A$5:$K$99,11,0),"")),"Tak","YES"),"Nie","NO")</f>
        <v/>
      </c>
      <c r="W144" s="646" t="str">
        <f t="shared" ca="1" si="53"/>
        <v>=PODSTAW('ZAMÓWIENIE | WYCENA'!C69;"_";'ZAMÓWIENIE | WYCENA'!$L$13;1)</v>
      </c>
      <c r="X144" s="646">
        <f t="shared" ca="1" si="65"/>
        <v>10</v>
      </c>
      <c r="Y144" s="646">
        <f t="shared" ca="1" si="54"/>
        <v>35</v>
      </c>
      <c r="Z144" s="646" t="str">
        <f t="shared" ca="1" si="55"/>
        <v>'ZAMÓWIENIE | WYCENA'!C69</v>
      </c>
      <c r="AA144" s="647">
        <f t="shared" ca="1" si="58"/>
        <v>0</v>
      </c>
      <c r="AB144" s="647">
        <f t="shared" ca="1" si="58"/>
        <v>0</v>
      </c>
      <c r="AC144" s="647">
        <f t="shared" ca="1" si="58"/>
        <v>23.1</v>
      </c>
      <c r="AD144" s="646" t="str">
        <f t="shared" si="56"/>
        <v>1111-190-905M-WSP004</v>
      </c>
      <c r="AE144" s="648">
        <f t="shared" ca="1" si="57"/>
        <v>23.1</v>
      </c>
    </row>
    <row r="145" spans="1:31" s="7" customFormat="1" ht="12">
      <c r="A145" s="23">
        <v>144</v>
      </c>
      <c r="B145" s="23" t="str">
        <f>SUBSTITUTE('ZAMÓWIENIE | WYCENA'!C70,"_",'ZAMÓWIENIE | WYCENA'!$L$13,1)</f>
        <v>1111-190-905M-OPO080</v>
      </c>
      <c r="C145" s="15">
        <f>'ZAMÓWIENIE | WYCENA'!L70</f>
        <v>0</v>
      </c>
      <c r="D145" s="14">
        <v>1</v>
      </c>
      <c r="E145" s="13"/>
      <c r="F145" s="13"/>
      <c r="G145" s="13"/>
      <c r="H145" s="24">
        <f>IFERROR(IF(COUNTIFS($H$1:H144,H144)&gt;=VLOOKUP(H144,$A$2:$D$309,4,0),IF(H144=MAX($A$2:$A$317),"",Lista!H144+1),H144),"")</f>
        <v>144</v>
      </c>
      <c r="I145" s="22" t="str">
        <f t="shared" si="59"/>
        <v>1111-190-905M-OPO080</v>
      </c>
      <c r="J145" s="24">
        <f t="shared" si="60"/>
        <v>0</v>
      </c>
      <c r="K145" s="25">
        <f t="shared" si="66"/>
        <v>0</v>
      </c>
      <c r="L145" s="26">
        <f t="shared" si="67"/>
        <v>0</v>
      </c>
      <c r="M145" s="26">
        <f t="shared" si="61"/>
        <v>0</v>
      </c>
      <c r="N145" s="26" t="str">
        <f t="shared" si="62"/>
        <v>SHO</v>
      </c>
      <c r="O145" s="26" t="str">
        <f t="shared" si="63"/>
        <v>IPT</v>
      </c>
      <c r="P145" s="25" t="str">
        <f t="shared" ca="1" si="64"/>
        <v>ND260415_0</v>
      </c>
      <c r="Q145" s="27" t="str">
        <f t="shared" ca="1" si="68"/>
        <v>2026-04-15</v>
      </c>
      <c r="R145" s="26" t="str">
        <f t="shared" si="69"/>
        <v>PLN</v>
      </c>
      <c r="S145" s="23" t="str">
        <f>IF(H145=1,VLOOKUP(COUNTIF($H$2:H145,H145),Specyfikacja!$A$5:$D$99,2,0),IF(H145=2,VLOOKUP(COUNTIF($H$2:H145,H145),Specyfikacja!$A$5:$K$99,9,0),""))</f>
        <v/>
      </c>
      <c r="T145" s="23" t="str">
        <f>IF(H145=1,VLOOKUP(COUNTIF($H$2:H145,H145),Specyfikacja!$A$5:$D$99,3,0),IF(H145=2,VLOOKUP(COUNTIF($H$2:H145,H145),Specyfikacja!$A$5:$K$99,10,0),""))</f>
        <v/>
      </c>
      <c r="U145" s="23" t="str">
        <f>SUBSTITUTE(SUBSTITUTE(IF(H145=1,VLOOKUP(COUNTIF($H$2:H145,H145),Specyfikacja!$A$5:$D$99,4,0),IF(H145=2,VLOOKUP(COUNTIF($H$2:H145,H145),Specyfikacja!$A$5:$K$99,11,0),"")),"Tak","YES"),"Nie","NO")</f>
        <v/>
      </c>
      <c r="W145" s="646" t="str">
        <f t="shared" ca="1" si="53"/>
        <v>=PODSTAW('ZAMÓWIENIE | WYCENA'!C70;"_";'ZAMÓWIENIE | WYCENA'!$L$13;1)</v>
      </c>
      <c r="X145" s="646">
        <f t="shared" ca="1" si="65"/>
        <v>10</v>
      </c>
      <c r="Y145" s="646">
        <f t="shared" ca="1" si="54"/>
        <v>35</v>
      </c>
      <c r="Z145" s="646" t="str">
        <f t="shared" ca="1" si="55"/>
        <v>'ZAMÓWIENIE | WYCENA'!C70</v>
      </c>
      <c r="AA145" s="647">
        <f t="shared" ca="1" si="58"/>
        <v>0</v>
      </c>
      <c r="AB145" s="647">
        <f t="shared" ca="1" si="58"/>
        <v>0</v>
      </c>
      <c r="AC145" s="647">
        <f t="shared" ca="1" si="58"/>
        <v>82.7</v>
      </c>
      <c r="AD145" s="646" t="str">
        <f t="shared" si="56"/>
        <v>1111-190-905M-OPO080</v>
      </c>
      <c r="AE145" s="648">
        <f t="shared" ca="1" si="57"/>
        <v>82.7</v>
      </c>
    </row>
    <row r="146" spans="1:31" s="7" customFormat="1" ht="12">
      <c r="A146" s="23">
        <v>145</v>
      </c>
      <c r="B146" s="23" t="str">
        <f>SUBSTITUTE('ZAMÓWIENIE | WYCENA'!C72,"_",'ZAMÓWIENIE | WYCENA'!$L$13,1)</f>
        <v>1111-190-905M-ZUS000</v>
      </c>
      <c r="C146" s="15">
        <f>'ZAMÓWIENIE | WYCENA'!L72</f>
        <v>0</v>
      </c>
      <c r="D146" s="14">
        <v>1</v>
      </c>
      <c r="E146" s="13"/>
      <c r="F146" s="13"/>
      <c r="G146" s="13"/>
      <c r="H146" s="24">
        <f>IFERROR(IF(COUNTIFS($H$1:H145,H145)&gt;=VLOOKUP(H145,$A$2:$D$309,4,0),IF(H145=MAX($A$2:$A$317),"",Lista!H145+1),H145),"")</f>
        <v>145</v>
      </c>
      <c r="I146" s="22" t="str">
        <f t="shared" si="59"/>
        <v>1111-190-905M-ZUS000</v>
      </c>
      <c r="J146" s="24">
        <f t="shared" si="60"/>
        <v>0</v>
      </c>
      <c r="K146" s="25">
        <f t="shared" si="66"/>
        <v>0</v>
      </c>
      <c r="L146" s="26">
        <f t="shared" si="67"/>
        <v>0</v>
      </c>
      <c r="M146" s="26">
        <f t="shared" si="61"/>
        <v>0</v>
      </c>
      <c r="N146" s="26" t="str">
        <f t="shared" si="62"/>
        <v>SHO</v>
      </c>
      <c r="O146" s="26" t="str">
        <f t="shared" si="63"/>
        <v>IPT</v>
      </c>
      <c r="P146" s="25" t="str">
        <f t="shared" ca="1" si="64"/>
        <v>ND260415_0</v>
      </c>
      <c r="Q146" s="27" t="str">
        <f t="shared" ca="1" si="68"/>
        <v>2026-04-15</v>
      </c>
      <c r="R146" s="26" t="str">
        <f t="shared" si="69"/>
        <v>PLN</v>
      </c>
      <c r="S146" s="23" t="str">
        <f>IF(H146=1,VLOOKUP(COUNTIF($H$2:H146,H146),Specyfikacja!$A$5:$D$99,2,0),IF(H146=2,VLOOKUP(COUNTIF($H$2:H146,H146),Specyfikacja!$A$5:$K$99,9,0),""))</f>
        <v/>
      </c>
      <c r="T146" s="23" t="str">
        <f>IF(H146=1,VLOOKUP(COUNTIF($H$2:H146,H146),Specyfikacja!$A$5:$D$99,3,0),IF(H146=2,VLOOKUP(COUNTIF($H$2:H146,H146),Specyfikacja!$A$5:$K$99,10,0),""))</f>
        <v/>
      </c>
      <c r="U146" s="23" t="str">
        <f>SUBSTITUTE(SUBSTITUTE(IF(H146=1,VLOOKUP(COUNTIF($H$2:H146,H146),Specyfikacja!$A$5:$D$99,4,0),IF(H146=2,VLOOKUP(COUNTIF($H$2:H146,H146),Specyfikacja!$A$5:$K$99,11,0),"")),"Tak","YES"),"Nie","NO")</f>
        <v/>
      </c>
      <c r="W146" s="646" t="str">
        <f t="shared" ca="1" si="53"/>
        <v>=PODSTAW('ZAMÓWIENIE | WYCENA'!C72;"_";'ZAMÓWIENIE | WYCENA'!$L$13;1)</v>
      </c>
      <c r="X146" s="646">
        <f t="shared" ca="1" si="65"/>
        <v>10</v>
      </c>
      <c r="Y146" s="646">
        <f t="shared" ca="1" si="54"/>
        <v>35</v>
      </c>
      <c r="Z146" s="646" t="str">
        <f t="shared" ca="1" si="55"/>
        <v>'ZAMÓWIENIE | WYCENA'!C72</v>
      </c>
      <c r="AA146" s="647">
        <f t="shared" ca="1" si="58"/>
        <v>0</v>
      </c>
      <c r="AB146" s="647">
        <f t="shared" ca="1" si="58"/>
        <v>0</v>
      </c>
      <c r="AC146" s="647">
        <f t="shared" ca="1" si="58"/>
        <v>64.599999999999994</v>
      </c>
      <c r="AD146" s="646" t="str">
        <f t="shared" si="56"/>
        <v>1111-190-905M-ZUS000</v>
      </c>
      <c r="AE146" s="648">
        <f t="shared" ca="1" si="57"/>
        <v>64.599999999999994</v>
      </c>
    </row>
    <row r="147" spans="1:31" s="7" customFormat="1" ht="12">
      <c r="A147" s="23">
        <v>146</v>
      </c>
      <c r="B147" s="23" t="str">
        <f>SUBSTITUTE('ZAMÓWIENIE | WYCENA'!C75,"_",'ZAMÓWIENIE | WYCENA'!$F$13,1)</f>
        <v>1110-000-716U-POS200</v>
      </c>
      <c r="C147" s="15">
        <f>'ZAMÓWIENIE | WYCENA'!F75</f>
        <v>0</v>
      </c>
      <c r="D147" s="14">
        <v>1</v>
      </c>
      <c r="E147" s="13"/>
      <c r="F147" s="13"/>
      <c r="G147" s="13"/>
      <c r="H147" s="24">
        <f>IFERROR(IF(COUNTIFS($H$1:H146,H146)&gt;=VLOOKUP(H146,$A$2:$D$309,4,0),IF(H146=MAX($A$2:$A$317),"",Lista!H146+1),H146),"")</f>
        <v>146</v>
      </c>
      <c r="I147" s="22" t="str">
        <f t="shared" si="59"/>
        <v>1110-000-716U-POS200</v>
      </c>
      <c r="J147" s="24">
        <f t="shared" si="60"/>
        <v>0</v>
      </c>
      <c r="K147" s="25">
        <f t="shared" si="66"/>
        <v>0</v>
      </c>
      <c r="L147" s="26">
        <f t="shared" si="67"/>
        <v>0</v>
      </c>
      <c r="M147" s="26">
        <f t="shared" si="61"/>
        <v>0</v>
      </c>
      <c r="N147" s="26" t="str">
        <f t="shared" si="62"/>
        <v>SHO</v>
      </c>
      <c r="O147" s="26" t="str">
        <f t="shared" si="63"/>
        <v>IPT</v>
      </c>
      <c r="P147" s="25" t="str">
        <f t="shared" ca="1" si="64"/>
        <v>ND260415_0</v>
      </c>
      <c r="Q147" s="27" t="str">
        <f t="shared" ca="1" si="68"/>
        <v>2026-04-15</v>
      </c>
      <c r="R147" s="26" t="str">
        <f t="shared" si="69"/>
        <v>PLN</v>
      </c>
      <c r="S147" s="23" t="str">
        <f>IF(H147=1,VLOOKUP(COUNTIF($H$2:H147,H147),Specyfikacja!$A$5:$D$99,2,0),IF(H147=2,VLOOKUP(COUNTIF($H$2:H147,H147),Specyfikacja!$A$5:$K$99,9,0),""))</f>
        <v/>
      </c>
      <c r="T147" s="23" t="str">
        <f>IF(H147=1,VLOOKUP(COUNTIF($H$2:H147,H147),Specyfikacja!$A$5:$D$99,3,0),IF(H147=2,VLOOKUP(COUNTIF($H$2:H147,H147),Specyfikacja!$A$5:$K$99,10,0),""))</f>
        <v/>
      </c>
      <c r="U147" s="23" t="str">
        <f>SUBSTITUTE(SUBSTITUTE(IF(H147=1,VLOOKUP(COUNTIF($H$2:H147,H147),Specyfikacja!$A$5:$D$99,4,0),IF(H147=2,VLOOKUP(COUNTIF($H$2:H147,H147),Specyfikacja!$A$5:$K$99,11,0),"")),"Tak","YES"),"Nie","NO")</f>
        <v/>
      </c>
      <c r="W147" s="646" t="str">
        <f t="shared" ca="1" si="53"/>
        <v>=PODSTAW('ZAMÓWIENIE | WYCENA'!C75;"_";'ZAMÓWIENIE | WYCENA'!$F$13;1)</v>
      </c>
      <c r="X147" s="646">
        <f t="shared" ca="1" si="65"/>
        <v>10</v>
      </c>
      <c r="Y147" s="646">
        <f t="shared" ca="1" si="54"/>
        <v>35</v>
      </c>
      <c r="Z147" s="646" t="str">
        <f t="shared" ca="1" si="55"/>
        <v>'ZAMÓWIENIE | WYCENA'!C75</v>
      </c>
      <c r="AA147" s="647">
        <f t="shared" ca="1" si="58"/>
        <v>49.2</v>
      </c>
      <c r="AB147" s="647">
        <f t="shared" ca="1" si="58"/>
        <v>49.2</v>
      </c>
      <c r="AC147" s="647">
        <f t="shared" ca="1" si="58"/>
        <v>54.7</v>
      </c>
      <c r="AD147" s="646" t="str">
        <f t="shared" si="56"/>
        <v>1110-000-716U-POS200</v>
      </c>
      <c r="AE147" s="648">
        <f ca="1">LARGE(AA147:AC147,3)</f>
        <v>49.2</v>
      </c>
    </row>
    <row r="148" spans="1:31" s="7" customFormat="1" ht="12">
      <c r="A148" s="23">
        <v>147</v>
      </c>
      <c r="B148" s="23" t="str">
        <f>SUBSTITUTE('ZAMÓWIENIE | WYCENA'!C76,"_",'ZAMÓWIENIE | WYCENA'!$F$13,1)</f>
        <v>1110-000-716U-PON200</v>
      </c>
      <c r="C148" s="15">
        <f>'ZAMÓWIENIE | WYCENA'!F76</f>
        <v>0</v>
      </c>
      <c r="D148" s="14">
        <v>1</v>
      </c>
      <c r="E148" s="13"/>
      <c r="F148" s="13"/>
      <c r="G148" s="13"/>
      <c r="H148" s="24">
        <f>IFERROR(IF(COUNTIFS($H$1:H147,H147)&gt;=VLOOKUP(H147,$A$2:$D$309,4,0),IF(H147=MAX($A$2:$A$317),"",Lista!H147+1),H147),"")</f>
        <v>147</v>
      </c>
      <c r="I148" s="22" t="str">
        <f t="shared" si="59"/>
        <v>1110-000-716U-PON200</v>
      </c>
      <c r="J148" s="24">
        <f t="shared" si="60"/>
        <v>0</v>
      </c>
      <c r="K148" s="25">
        <f t="shared" si="66"/>
        <v>0</v>
      </c>
      <c r="L148" s="26">
        <f t="shared" si="67"/>
        <v>0</v>
      </c>
      <c r="M148" s="26">
        <f t="shared" si="61"/>
        <v>0</v>
      </c>
      <c r="N148" s="26" t="str">
        <f t="shared" si="62"/>
        <v>SHO</v>
      </c>
      <c r="O148" s="26" t="str">
        <f t="shared" si="63"/>
        <v>IPT</v>
      </c>
      <c r="P148" s="25" t="str">
        <f t="shared" ca="1" si="64"/>
        <v>ND260415_0</v>
      </c>
      <c r="Q148" s="27" t="str">
        <f t="shared" ca="1" si="68"/>
        <v>2026-04-15</v>
      </c>
      <c r="R148" s="26" t="str">
        <f t="shared" si="69"/>
        <v>PLN</v>
      </c>
      <c r="S148" s="23" t="str">
        <f>IF(H148=1,VLOOKUP(COUNTIF($H$2:H148,H148),Specyfikacja!$A$5:$D$99,2,0),IF(H148=2,VLOOKUP(COUNTIF($H$2:H148,H148),Specyfikacja!$A$5:$K$99,9,0),""))</f>
        <v/>
      </c>
      <c r="T148" s="23" t="str">
        <f>IF(H148=1,VLOOKUP(COUNTIF($H$2:H148,H148),Specyfikacja!$A$5:$D$99,3,0),IF(H148=2,VLOOKUP(COUNTIF($H$2:H148,H148),Specyfikacja!$A$5:$K$99,10,0),""))</f>
        <v/>
      </c>
      <c r="U148" s="23" t="str">
        <f>SUBSTITUTE(SUBSTITUTE(IF(H148=1,VLOOKUP(COUNTIF($H$2:H148,H148),Specyfikacja!$A$5:$D$99,4,0),IF(H148=2,VLOOKUP(COUNTIF($H$2:H148,H148),Specyfikacja!$A$5:$K$99,11,0),"")),"Tak","YES"),"Nie","NO")</f>
        <v/>
      </c>
      <c r="W148" s="646" t="str">
        <f t="shared" ca="1" si="53"/>
        <v>=PODSTAW('ZAMÓWIENIE | WYCENA'!C76;"_";'ZAMÓWIENIE | WYCENA'!$F$13;1)</v>
      </c>
      <c r="X148" s="646">
        <f t="shared" ca="1" si="65"/>
        <v>10</v>
      </c>
      <c r="Y148" s="646">
        <f t="shared" ca="1" si="54"/>
        <v>35</v>
      </c>
      <c r="Z148" s="646" t="str">
        <f t="shared" ca="1" si="55"/>
        <v>'ZAMÓWIENIE | WYCENA'!C76</v>
      </c>
      <c r="AA148" s="647">
        <f t="shared" ca="1" si="58"/>
        <v>26.9</v>
      </c>
      <c r="AB148" s="647">
        <f t="shared" ca="1" si="58"/>
        <v>26.9</v>
      </c>
      <c r="AC148" s="647">
        <f t="shared" ca="1" si="58"/>
        <v>29.9</v>
      </c>
      <c r="AD148" s="646" t="str">
        <f t="shared" si="56"/>
        <v>1110-000-716U-PON200</v>
      </c>
      <c r="AE148" s="648">
        <f t="shared" ref="AE148:AE150" ca="1" si="70">LARGE(AA148:AC148,3)</f>
        <v>26.9</v>
      </c>
    </row>
    <row r="149" spans="1:31" s="7" customFormat="1" ht="12">
      <c r="A149" s="23">
        <v>148</v>
      </c>
      <c r="B149" s="23" t="str">
        <f>SUBSTITUTE('ZAMÓWIENIE | WYCENA'!C75,"_",'ZAMÓWIENIE | WYCENA'!$G$13,1)</f>
        <v>1110-000-905U-POS200</v>
      </c>
      <c r="C149" s="15">
        <f>'ZAMÓWIENIE | WYCENA'!G75</f>
        <v>0</v>
      </c>
      <c r="D149" s="14">
        <v>1</v>
      </c>
      <c r="E149" s="13"/>
      <c r="F149" s="13"/>
      <c r="G149" s="13"/>
      <c r="H149" s="24">
        <f>IFERROR(IF(COUNTIFS($H$1:H148,H148)&gt;=VLOOKUP(H148,$A$2:$D$309,4,0),IF(H148=MAX($A$2:$A$317),"",Lista!H148+1),H148),"")</f>
        <v>148</v>
      </c>
      <c r="I149" s="22" t="str">
        <f t="shared" si="59"/>
        <v>1110-000-905U-POS200</v>
      </c>
      <c r="J149" s="24">
        <f t="shared" si="60"/>
        <v>0</v>
      </c>
      <c r="K149" s="25">
        <f t="shared" si="66"/>
        <v>0</v>
      </c>
      <c r="L149" s="26">
        <f t="shared" si="67"/>
        <v>0</v>
      </c>
      <c r="M149" s="26">
        <f t="shared" si="61"/>
        <v>0</v>
      </c>
      <c r="N149" s="26" t="str">
        <f t="shared" si="62"/>
        <v>SHO</v>
      </c>
      <c r="O149" s="26" t="str">
        <f t="shared" si="63"/>
        <v>IPT</v>
      </c>
      <c r="P149" s="25" t="str">
        <f t="shared" ca="1" si="64"/>
        <v>ND260415_0</v>
      </c>
      <c r="Q149" s="27" t="str">
        <f t="shared" ca="1" si="68"/>
        <v>2026-04-15</v>
      </c>
      <c r="R149" s="26" t="str">
        <f t="shared" si="69"/>
        <v>PLN</v>
      </c>
      <c r="S149" s="23" t="str">
        <f>IF(H149=1,VLOOKUP(COUNTIF($H$2:H149,H149),Specyfikacja!$A$5:$D$99,2,0),IF(H149=2,VLOOKUP(COUNTIF($H$2:H149,H149),Specyfikacja!$A$5:$K$99,9,0),""))</f>
        <v/>
      </c>
      <c r="T149" s="23" t="str">
        <f>IF(H149=1,VLOOKUP(COUNTIF($H$2:H149,H149),Specyfikacja!$A$5:$D$99,3,0),IF(H149=2,VLOOKUP(COUNTIF($H$2:H149,H149),Specyfikacja!$A$5:$K$99,10,0),""))</f>
        <v/>
      </c>
      <c r="U149" s="23" t="str">
        <f>SUBSTITUTE(SUBSTITUTE(IF(H149=1,VLOOKUP(COUNTIF($H$2:H149,H149),Specyfikacja!$A$5:$D$99,4,0),IF(H149=2,VLOOKUP(COUNTIF($H$2:H149,H149),Specyfikacja!$A$5:$K$99,11,0),"")),"Tak","YES"),"Nie","NO")</f>
        <v/>
      </c>
      <c r="W149" s="646" t="str">
        <f t="shared" ca="1" si="53"/>
        <v>=PODSTAW('ZAMÓWIENIE | WYCENA'!C75;"_";'ZAMÓWIENIE | WYCENA'!$G$13;1)</v>
      </c>
      <c r="X149" s="646">
        <f t="shared" ca="1" si="65"/>
        <v>10</v>
      </c>
      <c r="Y149" s="646">
        <f t="shared" ca="1" si="54"/>
        <v>35</v>
      </c>
      <c r="Z149" s="646" t="str">
        <f t="shared" ca="1" si="55"/>
        <v>'ZAMÓWIENIE | WYCENA'!C75</v>
      </c>
      <c r="AA149" s="647">
        <f t="shared" ca="1" si="58"/>
        <v>49.2</v>
      </c>
      <c r="AB149" s="647">
        <f t="shared" ca="1" si="58"/>
        <v>49.2</v>
      </c>
      <c r="AC149" s="647">
        <f t="shared" ca="1" si="58"/>
        <v>54.7</v>
      </c>
      <c r="AD149" s="646" t="str">
        <f t="shared" si="56"/>
        <v>1110-000-905U-POS200</v>
      </c>
      <c r="AE149" s="648">
        <f t="shared" ca="1" si="70"/>
        <v>49.2</v>
      </c>
    </row>
    <row r="150" spans="1:31" s="7" customFormat="1" ht="12">
      <c r="A150" s="23">
        <v>149</v>
      </c>
      <c r="B150" s="23" t="str">
        <f>SUBSTITUTE('ZAMÓWIENIE | WYCENA'!C76,"_",'ZAMÓWIENIE | WYCENA'!$G$13,1)</f>
        <v>1110-000-905U-PON200</v>
      </c>
      <c r="C150" s="15">
        <f>'ZAMÓWIENIE | WYCENA'!G76</f>
        <v>0</v>
      </c>
      <c r="D150" s="14">
        <v>1</v>
      </c>
      <c r="E150" s="13"/>
      <c r="F150" s="13"/>
      <c r="G150" s="13"/>
      <c r="H150" s="24">
        <f>IFERROR(IF(COUNTIFS($H$1:H149,H149)&gt;=VLOOKUP(H149,$A$2:$D$309,4,0),IF(H149=MAX($A$2:$A$317),"",Lista!H149+1),H149),"")</f>
        <v>149</v>
      </c>
      <c r="I150" s="22" t="str">
        <f t="shared" si="59"/>
        <v>1110-000-905U-PON200</v>
      </c>
      <c r="J150" s="24">
        <f t="shared" si="60"/>
        <v>0</v>
      </c>
      <c r="K150" s="25">
        <f t="shared" si="66"/>
        <v>0</v>
      </c>
      <c r="L150" s="26">
        <f t="shared" si="67"/>
        <v>0</v>
      </c>
      <c r="M150" s="26">
        <f t="shared" si="61"/>
        <v>0</v>
      </c>
      <c r="N150" s="26" t="str">
        <f t="shared" si="62"/>
        <v>SHO</v>
      </c>
      <c r="O150" s="26" t="str">
        <f t="shared" si="63"/>
        <v>IPT</v>
      </c>
      <c r="P150" s="25" t="str">
        <f t="shared" ca="1" si="64"/>
        <v>ND260415_0</v>
      </c>
      <c r="Q150" s="27" t="str">
        <f t="shared" ca="1" si="68"/>
        <v>2026-04-15</v>
      </c>
      <c r="R150" s="26" t="str">
        <f t="shared" si="69"/>
        <v>PLN</v>
      </c>
      <c r="S150" s="23" t="str">
        <f>IF(H150=1,VLOOKUP(COUNTIF($H$2:H150,H150),Specyfikacja!$A$5:$D$99,2,0),IF(H150=2,VLOOKUP(COUNTIF($H$2:H150,H150),Specyfikacja!$A$5:$K$99,9,0),""))</f>
        <v/>
      </c>
      <c r="T150" s="23" t="str">
        <f>IF(H150=1,VLOOKUP(COUNTIF($H$2:H150,H150),Specyfikacja!$A$5:$D$99,3,0),IF(H150=2,VLOOKUP(COUNTIF($H$2:H150,H150),Specyfikacja!$A$5:$K$99,10,0),""))</f>
        <v/>
      </c>
      <c r="U150" s="23" t="str">
        <f>SUBSTITUTE(SUBSTITUTE(IF(H150=1,VLOOKUP(COUNTIF($H$2:H150,H150),Specyfikacja!$A$5:$D$99,4,0),IF(H150=2,VLOOKUP(COUNTIF($H$2:H150,H150),Specyfikacja!$A$5:$K$99,11,0),"")),"Tak","YES"),"Nie","NO")</f>
        <v/>
      </c>
      <c r="W150" s="646" t="str">
        <f t="shared" ca="1" si="53"/>
        <v>=PODSTAW('ZAMÓWIENIE | WYCENA'!C76;"_";'ZAMÓWIENIE | WYCENA'!$G$13;1)</v>
      </c>
      <c r="X150" s="646">
        <f t="shared" ca="1" si="65"/>
        <v>10</v>
      </c>
      <c r="Y150" s="646">
        <f t="shared" ca="1" si="54"/>
        <v>35</v>
      </c>
      <c r="Z150" s="646" t="str">
        <f t="shared" ca="1" si="55"/>
        <v>'ZAMÓWIENIE | WYCENA'!C76</v>
      </c>
      <c r="AA150" s="647">
        <f t="shared" ca="1" si="58"/>
        <v>26.9</v>
      </c>
      <c r="AB150" s="647">
        <f t="shared" ca="1" si="58"/>
        <v>26.9</v>
      </c>
      <c r="AC150" s="647">
        <f t="shared" ca="1" si="58"/>
        <v>29.9</v>
      </c>
      <c r="AD150" s="646" t="str">
        <f t="shared" si="56"/>
        <v>1110-000-905U-PON200</v>
      </c>
      <c r="AE150" s="648">
        <f t="shared" ca="1" si="70"/>
        <v>26.9</v>
      </c>
    </row>
    <row r="151" spans="1:31" s="7" customFormat="1" ht="12">
      <c r="A151" s="23">
        <v>150</v>
      </c>
      <c r="B151" s="23" t="str">
        <f>SUBSTITUTE('ZAMÓWIENIE | WYCENA'!C75,"_",'ZAMÓWIENIE | WYCENA'!$H$13,1)</f>
        <v>1110-000-716R-POS200</v>
      </c>
      <c r="C151" s="15">
        <f>'ZAMÓWIENIE | WYCENA'!H75</f>
        <v>0</v>
      </c>
      <c r="D151" s="14">
        <v>1</v>
      </c>
      <c r="E151" s="13"/>
      <c r="F151" s="13"/>
      <c r="G151" s="13"/>
      <c r="H151" s="24">
        <f>IFERROR(IF(COUNTIFS($H$1:H150,H150)&gt;=VLOOKUP(H150,$A$2:$D$309,4,0),IF(H150=MAX($A$2:$A$317),"",Lista!H150+1),H150),"")</f>
        <v>150</v>
      </c>
      <c r="I151" s="22" t="str">
        <f t="shared" si="59"/>
        <v>1110-000-716R-POS200</v>
      </c>
      <c r="J151" s="24">
        <f t="shared" si="60"/>
        <v>0</v>
      </c>
      <c r="K151" s="25">
        <f t="shared" si="66"/>
        <v>0</v>
      </c>
      <c r="L151" s="26">
        <f t="shared" si="67"/>
        <v>0</v>
      </c>
      <c r="M151" s="26">
        <f t="shared" si="61"/>
        <v>0</v>
      </c>
      <c r="N151" s="26" t="str">
        <f t="shared" si="62"/>
        <v>SHO</v>
      </c>
      <c r="O151" s="26" t="str">
        <f t="shared" si="63"/>
        <v>IPT</v>
      </c>
      <c r="P151" s="25" t="str">
        <f t="shared" ca="1" si="64"/>
        <v>ND260415_0</v>
      </c>
      <c r="Q151" s="27" t="str">
        <f t="shared" ca="1" si="68"/>
        <v>2026-04-15</v>
      </c>
      <c r="R151" s="26" t="str">
        <f t="shared" si="69"/>
        <v>PLN</v>
      </c>
      <c r="S151" s="23" t="str">
        <f>IF(H151=1,VLOOKUP(COUNTIF($H$2:H151,H151),Specyfikacja!$A$5:$D$99,2,0),IF(H151=2,VLOOKUP(COUNTIF($H$2:H151,H151),Specyfikacja!$A$5:$K$99,9,0),""))</f>
        <v/>
      </c>
      <c r="T151" s="23" t="str">
        <f>IF(H151=1,VLOOKUP(COUNTIF($H$2:H151,H151),Specyfikacja!$A$5:$D$99,3,0),IF(H151=2,VLOOKUP(COUNTIF($H$2:H151,H151),Specyfikacja!$A$5:$K$99,10,0),""))</f>
        <v/>
      </c>
      <c r="U151" s="23" t="str">
        <f>SUBSTITUTE(SUBSTITUTE(IF(H151=1,VLOOKUP(COUNTIF($H$2:H151,H151),Specyfikacja!$A$5:$D$99,4,0),IF(H151=2,VLOOKUP(COUNTIF($H$2:H151,H151),Specyfikacja!$A$5:$K$99,11,0),"")),"Tak","YES"),"Nie","NO")</f>
        <v/>
      </c>
      <c r="W151" s="646" t="str">
        <f t="shared" ca="1" si="53"/>
        <v>=PODSTAW('ZAMÓWIENIE | WYCENA'!C75;"_";'ZAMÓWIENIE | WYCENA'!$H$13;1)</v>
      </c>
      <c r="X151" s="646">
        <f t="shared" ca="1" si="65"/>
        <v>10</v>
      </c>
      <c r="Y151" s="646">
        <f t="shared" ca="1" si="54"/>
        <v>35</v>
      </c>
      <c r="Z151" s="646" t="str">
        <f t="shared" ca="1" si="55"/>
        <v>'ZAMÓWIENIE | WYCENA'!C75</v>
      </c>
      <c r="AA151" s="647">
        <f t="shared" ca="1" si="58"/>
        <v>49.2</v>
      </c>
      <c r="AB151" s="647">
        <f t="shared" ca="1" si="58"/>
        <v>49.2</v>
      </c>
      <c r="AC151" s="647">
        <f t="shared" ca="1" si="58"/>
        <v>54.7</v>
      </c>
      <c r="AD151" s="646" t="str">
        <f t="shared" si="56"/>
        <v>1110-000-716R-POS200</v>
      </c>
      <c r="AE151" s="648">
        <f ca="1">LARGE(AA151:AC151,2)</f>
        <v>49.2</v>
      </c>
    </row>
    <row r="152" spans="1:31" s="7" customFormat="1" ht="12">
      <c r="A152" s="23">
        <v>151</v>
      </c>
      <c r="B152" s="23" t="str">
        <f>SUBSTITUTE('ZAMÓWIENIE | WYCENA'!C76,"_",'ZAMÓWIENIE | WYCENA'!$H$13,1)</f>
        <v>1110-000-716R-PON200</v>
      </c>
      <c r="C152" s="15">
        <f>'ZAMÓWIENIE | WYCENA'!H76</f>
        <v>0</v>
      </c>
      <c r="D152" s="14">
        <v>1</v>
      </c>
      <c r="E152" s="13"/>
      <c r="F152" s="13"/>
      <c r="G152" s="13"/>
      <c r="H152" s="24">
        <f>IFERROR(IF(COUNTIFS($H$1:H151,H151)&gt;=VLOOKUP(H151,$A$2:$D$309,4,0),IF(H151=MAX($A$2:$A$317),"",Lista!H151+1),H151),"")</f>
        <v>151</v>
      </c>
      <c r="I152" s="22" t="str">
        <f t="shared" si="59"/>
        <v>1110-000-716R-PON200</v>
      </c>
      <c r="J152" s="24">
        <f t="shared" si="60"/>
        <v>0</v>
      </c>
      <c r="K152" s="25">
        <f t="shared" si="66"/>
        <v>0</v>
      </c>
      <c r="L152" s="26">
        <f t="shared" si="67"/>
        <v>0</v>
      </c>
      <c r="M152" s="26">
        <f t="shared" si="61"/>
        <v>0</v>
      </c>
      <c r="N152" s="26" t="str">
        <f t="shared" si="62"/>
        <v>SHO</v>
      </c>
      <c r="O152" s="26" t="str">
        <f t="shared" si="63"/>
        <v>IPT</v>
      </c>
      <c r="P152" s="25" t="str">
        <f t="shared" ca="1" si="64"/>
        <v>ND260415_0</v>
      </c>
      <c r="Q152" s="27" t="str">
        <f t="shared" ca="1" si="68"/>
        <v>2026-04-15</v>
      </c>
      <c r="R152" s="26" t="str">
        <f t="shared" si="69"/>
        <v>PLN</v>
      </c>
      <c r="S152" s="23" t="str">
        <f>IF(H152=1,VLOOKUP(COUNTIF($H$2:H152,H152),Specyfikacja!$A$5:$D$99,2,0),IF(H152=2,VLOOKUP(COUNTIF($H$2:H152,H152),Specyfikacja!$A$5:$K$99,9,0),""))</f>
        <v/>
      </c>
      <c r="T152" s="23" t="str">
        <f>IF(H152=1,VLOOKUP(COUNTIF($H$2:H152,H152),Specyfikacja!$A$5:$D$99,3,0),IF(H152=2,VLOOKUP(COUNTIF($H$2:H152,H152),Specyfikacja!$A$5:$K$99,10,0),""))</f>
        <v/>
      </c>
      <c r="U152" s="23" t="str">
        <f>SUBSTITUTE(SUBSTITUTE(IF(H152=1,VLOOKUP(COUNTIF($H$2:H152,H152),Specyfikacja!$A$5:$D$99,4,0),IF(H152=2,VLOOKUP(COUNTIF($H$2:H152,H152),Specyfikacja!$A$5:$K$99,11,0),"")),"Tak","YES"),"Nie","NO")</f>
        <v/>
      </c>
      <c r="W152" s="646" t="str">
        <f t="shared" ca="1" si="53"/>
        <v>=PODSTAW('ZAMÓWIENIE | WYCENA'!C76;"_";'ZAMÓWIENIE | WYCENA'!$H$13;1)</v>
      </c>
      <c r="X152" s="646">
        <f t="shared" ca="1" si="65"/>
        <v>10</v>
      </c>
      <c r="Y152" s="646">
        <f t="shared" ca="1" si="54"/>
        <v>35</v>
      </c>
      <c r="Z152" s="646" t="str">
        <f t="shared" ca="1" si="55"/>
        <v>'ZAMÓWIENIE | WYCENA'!C76</v>
      </c>
      <c r="AA152" s="647">
        <f t="shared" ca="1" si="58"/>
        <v>26.9</v>
      </c>
      <c r="AB152" s="647">
        <f t="shared" ca="1" si="58"/>
        <v>26.9</v>
      </c>
      <c r="AC152" s="647">
        <f t="shared" ca="1" si="58"/>
        <v>29.9</v>
      </c>
      <c r="AD152" s="646" t="str">
        <f t="shared" si="56"/>
        <v>1110-000-716R-PON200</v>
      </c>
      <c r="AE152" s="648">
        <f t="shared" ref="AE152:AE156" ca="1" si="71">LARGE(AA152:AC152,2)</f>
        <v>26.9</v>
      </c>
    </row>
    <row r="153" spans="1:31" s="7" customFormat="1" ht="12">
      <c r="A153" s="23">
        <v>152</v>
      </c>
      <c r="B153" s="23" t="str">
        <f>SUBSTITUTE('ZAMÓWIENIE | WYCENA'!C75,"_",'ZAMÓWIENIE | WYCENA'!$I$13,1)</f>
        <v>1110-000-905R-POS200</v>
      </c>
      <c r="C153" s="15">
        <f>'ZAMÓWIENIE | WYCENA'!I75</f>
        <v>0</v>
      </c>
      <c r="D153" s="14">
        <v>1</v>
      </c>
      <c r="E153" s="13"/>
      <c r="F153" s="13"/>
      <c r="G153" s="13"/>
      <c r="H153" s="24">
        <f>IFERROR(IF(COUNTIFS($H$1:H152,H152)&gt;=VLOOKUP(H152,$A$2:$D$309,4,0),IF(H152=MAX($A$2:$A$317),"",Lista!H152+1),H152),"")</f>
        <v>152</v>
      </c>
      <c r="I153" s="22" t="str">
        <f t="shared" si="59"/>
        <v>1110-000-905R-POS200</v>
      </c>
      <c r="J153" s="24">
        <f t="shared" si="60"/>
        <v>0</v>
      </c>
      <c r="K153" s="25">
        <f t="shared" si="66"/>
        <v>0</v>
      </c>
      <c r="L153" s="26">
        <f t="shared" si="67"/>
        <v>0</v>
      </c>
      <c r="M153" s="26">
        <f t="shared" si="61"/>
        <v>0</v>
      </c>
      <c r="N153" s="26" t="str">
        <f t="shared" si="62"/>
        <v>SHO</v>
      </c>
      <c r="O153" s="26" t="str">
        <f t="shared" si="63"/>
        <v>IPT</v>
      </c>
      <c r="P153" s="25" t="str">
        <f t="shared" ca="1" si="64"/>
        <v>ND260415_0</v>
      </c>
      <c r="Q153" s="27" t="str">
        <f t="shared" ca="1" si="68"/>
        <v>2026-04-15</v>
      </c>
      <c r="R153" s="26" t="str">
        <f t="shared" si="69"/>
        <v>PLN</v>
      </c>
      <c r="S153" s="23" t="str">
        <f>IF(H153=1,VLOOKUP(COUNTIF($H$2:H153,H153),Specyfikacja!$A$5:$D$99,2,0),IF(H153=2,VLOOKUP(COUNTIF($H$2:H153,H153),Specyfikacja!$A$5:$K$99,9,0),""))</f>
        <v/>
      </c>
      <c r="T153" s="23" t="str">
        <f>IF(H153=1,VLOOKUP(COUNTIF($H$2:H153,H153),Specyfikacja!$A$5:$D$99,3,0),IF(H153=2,VLOOKUP(COUNTIF($H$2:H153,H153),Specyfikacja!$A$5:$K$99,10,0),""))</f>
        <v/>
      </c>
      <c r="U153" s="23" t="str">
        <f>SUBSTITUTE(SUBSTITUTE(IF(H153=1,VLOOKUP(COUNTIF($H$2:H153,H153),Specyfikacja!$A$5:$D$99,4,0),IF(H153=2,VLOOKUP(COUNTIF($H$2:H153,H153),Specyfikacja!$A$5:$K$99,11,0),"")),"Tak","YES"),"Nie","NO")</f>
        <v/>
      </c>
      <c r="W153" s="646" t="str">
        <f t="shared" ca="1" si="53"/>
        <v>=PODSTAW('ZAMÓWIENIE | WYCENA'!C75;"_";'ZAMÓWIENIE | WYCENA'!$I$13;1)</v>
      </c>
      <c r="X153" s="646">
        <f t="shared" ca="1" si="65"/>
        <v>10</v>
      </c>
      <c r="Y153" s="646">
        <f t="shared" ca="1" si="54"/>
        <v>35</v>
      </c>
      <c r="Z153" s="646" t="str">
        <f t="shared" ca="1" si="55"/>
        <v>'ZAMÓWIENIE | WYCENA'!C75</v>
      </c>
      <c r="AA153" s="647">
        <f t="shared" ca="1" si="58"/>
        <v>49.2</v>
      </c>
      <c r="AB153" s="647">
        <f t="shared" ca="1" si="58"/>
        <v>49.2</v>
      </c>
      <c r="AC153" s="647">
        <f t="shared" ca="1" si="58"/>
        <v>54.7</v>
      </c>
      <c r="AD153" s="646" t="str">
        <f t="shared" si="56"/>
        <v>1110-000-905R-POS200</v>
      </c>
      <c r="AE153" s="648">
        <f t="shared" ca="1" si="71"/>
        <v>49.2</v>
      </c>
    </row>
    <row r="154" spans="1:31" s="7" customFormat="1" ht="12">
      <c r="A154" s="23">
        <v>153</v>
      </c>
      <c r="B154" s="23" t="str">
        <f>SUBSTITUTE('ZAMÓWIENIE | WYCENA'!C76,"_",'ZAMÓWIENIE | WYCENA'!$I$13,1)</f>
        <v>1110-000-905R-PON200</v>
      </c>
      <c r="C154" s="15">
        <f>'ZAMÓWIENIE | WYCENA'!I76</f>
        <v>0</v>
      </c>
      <c r="D154" s="14">
        <v>1</v>
      </c>
      <c r="E154" s="13"/>
      <c r="F154" s="13"/>
      <c r="G154" s="13"/>
      <c r="H154" s="24">
        <f>IFERROR(IF(COUNTIFS($H$1:H153,H153)&gt;=VLOOKUP(H153,$A$2:$D$309,4,0),IF(H153=MAX($A$2:$A$317),"",Lista!H153+1),H153),"")</f>
        <v>153</v>
      </c>
      <c r="I154" s="22" t="str">
        <f t="shared" si="59"/>
        <v>1110-000-905R-PON200</v>
      </c>
      <c r="J154" s="24">
        <f t="shared" si="60"/>
        <v>0</v>
      </c>
      <c r="K154" s="25">
        <f t="shared" si="66"/>
        <v>0</v>
      </c>
      <c r="L154" s="26">
        <f t="shared" si="67"/>
        <v>0</v>
      </c>
      <c r="M154" s="26">
        <f t="shared" si="61"/>
        <v>0</v>
      </c>
      <c r="N154" s="26" t="str">
        <f t="shared" si="62"/>
        <v>SHO</v>
      </c>
      <c r="O154" s="26" t="str">
        <f t="shared" si="63"/>
        <v>IPT</v>
      </c>
      <c r="P154" s="25" t="str">
        <f t="shared" ca="1" si="64"/>
        <v>ND260415_0</v>
      </c>
      <c r="Q154" s="27" t="str">
        <f t="shared" ca="1" si="68"/>
        <v>2026-04-15</v>
      </c>
      <c r="R154" s="26" t="str">
        <f t="shared" si="69"/>
        <v>PLN</v>
      </c>
      <c r="S154" s="23" t="str">
        <f>IF(H154=1,VLOOKUP(COUNTIF($H$2:H154,H154),Specyfikacja!$A$5:$D$99,2,0),IF(H154=2,VLOOKUP(COUNTIF($H$2:H154,H154),Specyfikacja!$A$5:$K$99,9,0),""))</f>
        <v/>
      </c>
      <c r="T154" s="23" t="str">
        <f>IF(H154=1,VLOOKUP(COUNTIF($H$2:H154,H154),Specyfikacja!$A$5:$D$99,3,0),IF(H154=2,VLOOKUP(COUNTIF($H$2:H154,H154),Specyfikacja!$A$5:$K$99,10,0),""))</f>
        <v/>
      </c>
      <c r="U154" s="23" t="str">
        <f>SUBSTITUTE(SUBSTITUTE(IF(H154=1,VLOOKUP(COUNTIF($H$2:H154,H154),Specyfikacja!$A$5:$D$99,4,0),IF(H154=2,VLOOKUP(COUNTIF($H$2:H154,H154),Specyfikacja!$A$5:$K$99,11,0),"")),"Tak","YES"),"Nie","NO")</f>
        <v/>
      </c>
      <c r="W154" s="646" t="str">
        <f t="shared" ca="1" si="53"/>
        <v>=PODSTAW('ZAMÓWIENIE | WYCENA'!C76;"_";'ZAMÓWIENIE | WYCENA'!$I$13;1)</v>
      </c>
      <c r="X154" s="646">
        <f t="shared" ca="1" si="65"/>
        <v>10</v>
      </c>
      <c r="Y154" s="646">
        <f t="shared" ca="1" si="54"/>
        <v>35</v>
      </c>
      <c r="Z154" s="646" t="str">
        <f t="shared" ca="1" si="55"/>
        <v>'ZAMÓWIENIE | WYCENA'!C76</v>
      </c>
      <c r="AA154" s="647">
        <f t="shared" ca="1" si="58"/>
        <v>26.9</v>
      </c>
      <c r="AB154" s="647">
        <f t="shared" ca="1" si="58"/>
        <v>26.9</v>
      </c>
      <c r="AC154" s="647">
        <f t="shared" ca="1" si="58"/>
        <v>29.9</v>
      </c>
      <c r="AD154" s="646" t="str">
        <f t="shared" si="56"/>
        <v>1110-000-905R-PON200</v>
      </c>
      <c r="AE154" s="648">
        <f t="shared" ca="1" si="71"/>
        <v>26.9</v>
      </c>
    </row>
    <row r="155" spans="1:31" s="7" customFormat="1" ht="12">
      <c r="A155" s="23">
        <v>154</v>
      </c>
      <c r="B155" s="23" t="str">
        <f>SUBSTITUTE('ZAMÓWIENIE | WYCENA'!C75,"_",'ZAMÓWIENIE | WYCENA'!$J$13,1)</f>
        <v>1110-000-817R-POS200</v>
      </c>
      <c r="C155" s="15">
        <f>'ZAMÓWIENIE | WYCENA'!J75</f>
        <v>0</v>
      </c>
      <c r="D155" s="14">
        <v>1</v>
      </c>
      <c r="E155" s="13"/>
      <c r="F155" s="13"/>
      <c r="G155" s="13"/>
      <c r="H155" s="24">
        <f>IFERROR(IF(COUNTIFS($H$1:H154,H154)&gt;=VLOOKUP(H154,$A$2:$D$309,4,0),IF(H154=MAX($A$2:$A$317),"",Lista!H154+1),H154),"")</f>
        <v>154</v>
      </c>
      <c r="I155" s="22" t="str">
        <f t="shared" si="59"/>
        <v>1110-000-817R-POS200</v>
      </c>
      <c r="J155" s="24">
        <f t="shared" si="60"/>
        <v>0</v>
      </c>
      <c r="K155" s="25">
        <f t="shared" si="66"/>
        <v>0</v>
      </c>
      <c r="L155" s="26">
        <f t="shared" si="67"/>
        <v>0</v>
      </c>
      <c r="M155" s="26">
        <f t="shared" si="61"/>
        <v>0</v>
      </c>
      <c r="N155" s="26" t="str">
        <f t="shared" si="62"/>
        <v>SHO</v>
      </c>
      <c r="O155" s="26" t="str">
        <f t="shared" si="63"/>
        <v>IPT</v>
      </c>
      <c r="P155" s="25" t="str">
        <f t="shared" ca="1" si="64"/>
        <v>ND260415_0</v>
      </c>
      <c r="Q155" s="27" t="str">
        <f t="shared" ca="1" si="68"/>
        <v>2026-04-15</v>
      </c>
      <c r="R155" s="26" t="str">
        <f t="shared" si="69"/>
        <v>PLN</v>
      </c>
      <c r="S155" s="23" t="str">
        <f>IF(H155=1,VLOOKUP(COUNTIF($H$2:H155,H155),Specyfikacja!$A$5:$D$99,2,0),IF(H155=2,VLOOKUP(COUNTIF($H$2:H155,H155),Specyfikacja!$A$5:$K$99,9,0),""))</f>
        <v/>
      </c>
      <c r="T155" s="23" t="str">
        <f>IF(H155=1,VLOOKUP(COUNTIF($H$2:H155,H155),Specyfikacja!$A$5:$D$99,3,0),IF(H155=2,VLOOKUP(COUNTIF($H$2:H155,H155),Specyfikacja!$A$5:$K$99,10,0),""))</f>
        <v/>
      </c>
      <c r="U155" s="23" t="str">
        <f>SUBSTITUTE(SUBSTITUTE(IF(H155=1,VLOOKUP(COUNTIF($H$2:H155,H155),Specyfikacja!$A$5:$D$99,4,0),IF(H155=2,VLOOKUP(COUNTIF($H$2:H155,H155),Specyfikacja!$A$5:$K$99,11,0),"")),"Tak","YES"),"Nie","NO")</f>
        <v/>
      </c>
      <c r="W155" s="646" t="str">
        <f t="shared" ca="1" si="53"/>
        <v>=PODSTAW('ZAMÓWIENIE | WYCENA'!C75;"_";'ZAMÓWIENIE | WYCENA'!$J$13;1)</v>
      </c>
      <c r="X155" s="646">
        <f t="shared" ca="1" si="65"/>
        <v>10</v>
      </c>
      <c r="Y155" s="646">
        <f t="shared" ca="1" si="54"/>
        <v>35</v>
      </c>
      <c r="Z155" s="646" t="str">
        <f t="shared" ca="1" si="55"/>
        <v>'ZAMÓWIENIE | WYCENA'!C75</v>
      </c>
      <c r="AA155" s="647">
        <f t="shared" ca="1" si="58"/>
        <v>49.2</v>
      </c>
      <c r="AB155" s="647">
        <f t="shared" ca="1" si="58"/>
        <v>49.2</v>
      </c>
      <c r="AC155" s="647">
        <f t="shared" ca="1" si="58"/>
        <v>54.7</v>
      </c>
      <c r="AD155" s="646" t="str">
        <f t="shared" si="56"/>
        <v>1110-000-817R-POS200</v>
      </c>
      <c r="AE155" s="648">
        <f t="shared" ca="1" si="71"/>
        <v>49.2</v>
      </c>
    </row>
    <row r="156" spans="1:31" s="7" customFormat="1" ht="12">
      <c r="A156" s="23">
        <v>155</v>
      </c>
      <c r="B156" s="23" t="str">
        <f>SUBSTITUTE('ZAMÓWIENIE | WYCENA'!C76,"_",'ZAMÓWIENIE | WYCENA'!$J$13,1)</f>
        <v>1110-000-817R-PON200</v>
      </c>
      <c r="C156" s="15">
        <f>'ZAMÓWIENIE | WYCENA'!J76</f>
        <v>0</v>
      </c>
      <c r="D156" s="14">
        <v>1</v>
      </c>
      <c r="E156" s="13"/>
      <c r="F156" s="13"/>
      <c r="G156" s="13"/>
      <c r="H156" s="24">
        <f>IFERROR(IF(COUNTIFS($H$1:H155,H155)&gt;=VLOOKUP(H155,$A$2:$D$309,4,0),IF(H155=MAX($A$2:$A$317),"",Lista!H155+1),H155),"")</f>
        <v>155</v>
      </c>
      <c r="I156" s="22" t="str">
        <f t="shared" si="59"/>
        <v>1110-000-817R-PON200</v>
      </c>
      <c r="J156" s="24">
        <f t="shared" si="60"/>
        <v>0</v>
      </c>
      <c r="K156" s="25">
        <f t="shared" si="66"/>
        <v>0</v>
      </c>
      <c r="L156" s="26">
        <f t="shared" si="67"/>
        <v>0</v>
      </c>
      <c r="M156" s="26">
        <f t="shared" si="61"/>
        <v>0</v>
      </c>
      <c r="N156" s="26" t="str">
        <f t="shared" si="62"/>
        <v>SHO</v>
      </c>
      <c r="O156" s="26" t="str">
        <f t="shared" si="63"/>
        <v>IPT</v>
      </c>
      <c r="P156" s="25" t="str">
        <f t="shared" ca="1" si="64"/>
        <v>ND260415_0</v>
      </c>
      <c r="Q156" s="27" t="str">
        <f t="shared" ca="1" si="68"/>
        <v>2026-04-15</v>
      </c>
      <c r="R156" s="26" t="str">
        <f t="shared" si="69"/>
        <v>PLN</v>
      </c>
      <c r="S156" s="23" t="str">
        <f>IF(H156=1,VLOOKUP(COUNTIF($H$2:H156,H156),Specyfikacja!$A$5:$D$99,2,0),IF(H156=2,VLOOKUP(COUNTIF($H$2:H156,H156),Specyfikacja!$A$5:$K$99,9,0),""))</f>
        <v/>
      </c>
      <c r="T156" s="23" t="str">
        <f>IF(H156=1,VLOOKUP(COUNTIF($H$2:H156,H156),Specyfikacja!$A$5:$D$99,3,0),IF(H156=2,VLOOKUP(COUNTIF($H$2:H156,H156),Specyfikacja!$A$5:$K$99,10,0),""))</f>
        <v/>
      </c>
      <c r="U156" s="23" t="str">
        <f>SUBSTITUTE(SUBSTITUTE(IF(H156=1,VLOOKUP(COUNTIF($H$2:H156,H156),Specyfikacja!$A$5:$D$99,4,0),IF(H156=2,VLOOKUP(COUNTIF($H$2:H156,H156),Specyfikacja!$A$5:$K$99,11,0),"")),"Tak","YES"),"Nie","NO")</f>
        <v/>
      </c>
      <c r="W156" s="646" t="str">
        <f t="shared" ca="1" si="53"/>
        <v>=PODSTAW('ZAMÓWIENIE | WYCENA'!C76;"_";'ZAMÓWIENIE | WYCENA'!$J$13;1)</v>
      </c>
      <c r="X156" s="646">
        <f t="shared" ca="1" si="65"/>
        <v>10</v>
      </c>
      <c r="Y156" s="646">
        <f t="shared" ca="1" si="54"/>
        <v>35</v>
      </c>
      <c r="Z156" s="646" t="str">
        <f t="shared" ca="1" si="55"/>
        <v>'ZAMÓWIENIE | WYCENA'!C76</v>
      </c>
      <c r="AA156" s="647">
        <f t="shared" ca="1" si="58"/>
        <v>26.9</v>
      </c>
      <c r="AB156" s="647">
        <f t="shared" ca="1" si="58"/>
        <v>26.9</v>
      </c>
      <c r="AC156" s="647">
        <f t="shared" ca="1" si="58"/>
        <v>29.9</v>
      </c>
      <c r="AD156" s="646" t="str">
        <f t="shared" si="56"/>
        <v>1110-000-817R-PON200</v>
      </c>
      <c r="AE156" s="648">
        <f t="shared" ca="1" si="71"/>
        <v>26.9</v>
      </c>
    </row>
    <row r="157" spans="1:31" s="7" customFormat="1" ht="12">
      <c r="A157" s="23">
        <v>156</v>
      </c>
      <c r="B157" s="23" t="str">
        <f>SUBSTITUTE('ZAMÓWIENIE | WYCENA'!C75,"_",'ZAMÓWIENIE | WYCENA'!$K$13,1)</f>
        <v>1110-000-716M-POS200</v>
      </c>
      <c r="C157" s="15">
        <f>'ZAMÓWIENIE | WYCENA'!K75</f>
        <v>0</v>
      </c>
      <c r="D157" s="14">
        <v>1</v>
      </c>
      <c r="E157" s="13"/>
      <c r="F157" s="13"/>
      <c r="G157" s="13"/>
      <c r="H157" s="24">
        <f>IFERROR(IF(COUNTIFS($H$1:H156,H156)&gt;=VLOOKUP(H156,$A$2:$D$309,4,0),IF(H156=MAX($A$2:$A$317),"",Lista!H156+1),H156),"")</f>
        <v>156</v>
      </c>
      <c r="I157" s="22" t="str">
        <f t="shared" si="59"/>
        <v>1110-000-716M-POS200</v>
      </c>
      <c r="J157" s="24">
        <f t="shared" si="60"/>
        <v>0</v>
      </c>
      <c r="K157" s="25">
        <f t="shared" si="66"/>
        <v>0</v>
      </c>
      <c r="L157" s="26">
        <f t="shared" si="67"/>
        <v>0</v>
      </c>
      <c r="M157" s="26">
        <f t="shared" si="61"/>
        <v>0</v>
      </c>
      <c r="N157" s="26" t="str">
        <f t="shared" si="62"/>
        <v>SHO</v>
      </c>
      <c r="O157" s="26" t="str">
        <f t="shared" si="63"/>
        <v>IPT</v>
      </c>
      <c r="P157" s="25" t="str">
        <f t="shared" ca="1" si="64"/>
        <v>ND260415_0</v>
      </c>
      <c r="Q157" s="27" t="str">
        <f t="shared" ca="1" si="68"/>
        <v>2026-04-15</v>
      </c>
      <c r="R157" s="26" t="str">
        <f t="shared" si="69"/>
        <v>PLN</v>
      </c>
      <c r="S157" s="23" t="str">
        <f>IF(H157=1,VLOOKUP(COUNTIF($H$2:H157,H157),Specyfikacja!$A$5:$D$99,2,0),IF(H157=2,VLOOKUP(COUNTIF($H$2:H157,H157),Specyfikacja!$A$5:$K$99,9,0),""))</f>
        <v/>
      </c>
      <c r="T157" s="23" t="str">
        <f>IF(H157=1,VLOOKUP(COUNTIF($H$2:H157,H157),Specyfikacja!$A$5:$D$99,3,0),IF(H157=2,VLOOKUP(COUNTIF($H$2:H157,H157),Specyfikacja!$A$5:$K$99,10,0),""))</f>
        <v/>
      </c>
      <c r="U157" s="23" t="str">
        <f>SUBSTITUTE(SUBSTITUTE(IF(H157=1,VLOOKUP(COUNTIF($H$2:H157,H157),Specyfikacja!$A$5:$D$99,4,0),IF(H157=2,VLOOKUP(COUNTIF($H$2:H157,H157),Specyfikacja!$A$5:$K$99,11,0),"")),"Tak","YES"),"Nie","NO")</f>
        <v/>
      </c>
      <c r="W157" s="646" t="str">
        <f t="shared" ca="1" si="53"/>
        <v>=PODSTAW('ZAMÓWIENIE | WYCENA'!C75;"_";'ZAMÓWIENIE | WYCENA'!$K$13;1)</v>
      </c>
      <c r="X157" s="646">
        <f t="shared" ca="1" si="65"/>
        <v>10</v>
      </c>
      <c r="Y157" s="646">
        <f t="shared" ca="1" si="54"/>
        <v>35</v>
      </c>
      <c r="Z157" s="646" t="str">
        <f t="shared" ca="1" si="55"/>
        <v>'ZAMÓWIENIE | WYCENA'!C75</v>
      </c>
      <c r="AA157" s="647">
        <f t="shared" ca="1" si="58"/>
        <v>49.2</v>
      </c>
      <c r="AB157" s="647">
        <f t="shared" ca="1" si="58"/>
        <v>49.2</v>
      </c>
      <c r="AC157" s="647">
        <f t="shared" ca="1" si="58"/>
        <v>54.7</v>
      </c>
      <c r="AD157" s="646" t="str">
        <f t="shared" si="56"/>
        <v>1110-000-716M-POS200</v>
      </c>
      <c r="AE157" s="648">
        <f t="shared" ca="1" si="57"/>
        <v>54.7</v>
      </c>
    </row>
    <row r="158" spans="1:31" s="7" customFormat="1" ht="12">
      <c r="A158" s="23">
        <v>157</v>
      </c>
      <c r="B158" s="23" t="str">
        <f>SUBSTITUTE('ZAMÓWIENIE | WYCENA'!C76,"_",'ZAMÓWIENIE | WYCENA'!$K$13,1)</f>
        <v>1110-000-716M-PON200</v>
      </c>
      <c r="C158" s="15">
        <f>'ZAMÓWIENIE | WYCENA'!K76</f>
        <v>0</v>
      </c>
      <c r="D158" s="14">
        <v>1</v>
      </c>
      <c r="E158" s="13"/>
      <c r="F158" s="13"/>
      <c r="G158" s="13"/>
      <c r="H158" s="24">
        <f>IFERROR(IF(COUNTIFS($H$1:H157,H157)&gt;=VLOOKUP(H157,$A$2:$D$309,4,0),IF(H157=MAX($A$2:$A$317),"",Lista!H157+1),H157),"")</f>
        <v>157</v>
      </c>
      <c r="I158" s="22" t="str">
        <f t="shared" si="59"/>
        <v>1110-000-716M-PON200</v>
      </c>
      <c r="J158" s="24">
        <f t="shared" si="60"/>
        <v>0</v>
      </c>
      <c r="K158" s="25">
        <f t="shared" si="66"/>
        <v>0</v>
      </c>
      <c r="L158" s="26">
        <f t="shared" si="67"/>
        <v>0</v>
      </c>
      <c r="M158" s="26">
        <f t="shared" si="61"/>
        <v>0</v>
      </c>
      <c r="N158" s="26" t="str">
        <f t="shared" si="62"/>
        <v>SHO</v>
      </c>
      <c r="O158" s="26" t="str">
        <f t="shared" si="63"/>
        <v>IPT</v>
      </c>
      <c r="P158" s="25" t="str">
        <f t="shared" ca="1" si="64"/>
        <v>ND260415_0</v>
      </c>
      <c r="Q158" s="27" t="str">
        <f t="shared" ca="1" si="68"/>
        <v>2026-04-15</v>
      </c>
      <c r="R158" s="26" t="str">
        <f t="shared" si="69"/>
        <v>PLN</v>
      </c>
      <c r="S158" s="23" t="str">
        <f>IF(H158=1,VLOOKUP(COUNTIF($H$2:H158,H158),Specyfikacja!$A$5:$D$99,2,0),IF(H158=2,VLOOKUP(COUNTIF($H$2:H158,H158),Specyfikacja!$A$5:$K$99,9,0),""))</f>
        <v/>
      </c>
      <c r="T158" s="23" t="str">
        <f>IF(H158=1,VLOOKUP(COUNTIF($H$2:H158,H158),Specyfikacja!$A$5:$D$99,3,0),IF(H158=2,VLOOKUP(COUNTIF($H$2:H158,H158),Specyfikacja!$A$5:$K$99,10,0),""))</f>
        <v/>
      </c>
      <c r="U158" s="23" t="str">
        <f>SUBSTITUTE(SUBSTITUTE(IF(H158=1,VLOOKUP(COUNTIF($H$2:H158,H158),Specyfikacja!$A$5:$D$99,4,0),IF(H158=2,VLOOKUP(COUNTIF($H$2:H158,H158),Specyfikacja!$A$5:$K$99,11,0),"")),"Tak","YES"),"Nie","NO")</f>
        <v/>
      </c>
      <c r="W158" s="646" t="str">
        <f t="shared" ca="1" si="53"/>
        <v>=PODSTAW('ZAMÓWIENIE | WYCENA'!C76;"_";'ZAMÓWIENIE | WYCENA'!$K$13;1)</v>
      </c>
      <c r="X158" s="646">
        <f t="shared" ca="1" si="65"/>
        <v>10</v>
      </c>
      <c r="Y158" s="646">
        <f t="shared" ca="1" si="54"/>
        <v>35</v>
      </c>
      <c r="Z158" s="646" t="str">
        <f t="shared" ca="1" si="55"/>
        <v>'ZAMÓWIENIE | WYCENA'!C76</v>
      </c>
      <c r="AA158" s="647">
        <f t="shared" ca="1" si="58"/>
        <v>26.9</v>
      </c>
      <c r="AB158" s="647">
        <f t="shared" ca="1" si="58"/>
        <v>26.9</v>
      </c>
      <c r="AC158" s="647">
        <f t="shared" ca="1" si="58"/>
        <v>29.9</v>
      </c>
      <c r="AD158" s="646" t="str">
        <f t="shared" si="56"/>
        <v>1110-000-716M-PON200</v>
      </c>
      <c r="AE158" s="648">
        <f t="shared" ca="1" si="57"/>
        <v>29.9</v>
      </c>
    </row>
    <row r="159" spans="1:31" s="7" customFormat="1" ht="12">
      <c r="A159" s="23">
        <v>158</v>
      </c>
      <c r="B159" s="23" t="str">
        <f>SUBSTITUTE('ZAMÓWIENIE | WYCENA'!C77,"_",'ZAMÓWIENIE | WYCENA'!$K$13,1)</f>
        <v>1110-000-716M-POW200</v>
      </c>
      <c r="C159" s="15">
        <f>'ZAMÓWIENIE | WYCENA'!K77</f>
        <v>0</v>
      </c>
      <c r="D159" s="14">
        <v>1</v>
      </c>
      <c r="E159" s="13"/>
      <c r="F159" s="13"/>
      <c r="G159" s="13"/>
      <c r="H159" s="24">
        <f>IFERROR(IF(COUNTIFS($H$1:H158,H158)&gt;=VLOOKUP(H158,$A$2:$D$309,4,0),IF(H158=MAX($A$2:$A$317),"",Lista!H158+1),H158),"")</f>
        <v>158</v>
      </c>
      <c r="I159" s="22" t="str">
        <f t="shared" si="59"/>
        <v>1110-000-716M-POW200</v>
      </c>
      <c r="J159" s="24">
        <f t="shared" si="60"/>
        <v>0</v>
      </c>
      <c r="K159" s="25">
        <f t="shared" si="66"/>
        <v>0</v>
      </c>
      <c r="L159" s="26">
        <f t="shared" si="67"/>
        <v>0</v>
      </c>
      <c r="M159" s="26">
        <f t="shared" si="61"/>
        <v>0</v>
      </c>
      <c r="N159" s="26" t="str">
        <f t="shared" si="62"/>
        <v>SHO</v>
      </c>
      <c r="O159" s="26" t="str">
        <f t="shared" si="63"/>
        <v>IPT</v>
      </c>
      <c r="P159" s="25" t="str">
        <f t="shared" ca="1" si="64"/>
        <v>ND260415_0</v>
      </c>
      <c r="Q159" s="27" t="str">
        <f t="shared" ca="1" si="68"/>
        <v>2026-04-15</v>
      </c>
      <c r="R159" s="26" t="str">
        <f t="shared" si="69"/>
        <v>PLN</v>
      </c>
      <c r="S159" s="23" t="str">
        <f>IF(H159=1,VLOOKUP(COUNTIF($H$2:H159,H159),Specyfikacja!$A$5:$D$99,2,0),IF(H159=2,VLOOKUP(COUNTIF($H$2:H159,H159),Specyfikacja!$A$5:$K$99,9,0),""))</f>
        <v/>
      </c>
      <c r="T159" s="23" t="str">
        <f>IF(H159=1,VLOOKUP(COUNTIF($H$2:H159,H159),Specyfikacja!$A$5:$D$99,3,0),IF(H159=2,VLOOKUP(COUNTIF($H$2:H159,H159),Specyfikacja!$A$5:$K$99,10,0),""))</f>
        <v/>
      </c>
      <c r="U159" s="23" t="str">
        <f>SUBSTITUTE(SUBSTITUTE(IF(H159=1,VLOOKUP(COUNTIF($H$2:H159,H159),Specyfikacja!$A$5:$D$99,4,0),IF(H159=2,VLOOKUP(COUNTIF($H$2:H159,H159),Specyfikacja!$A$5:$K$99,11,0),"")),"Tak","YES"),"Nie","NO")</f>
        <v/>
      </c>
      <c r="W159" s="646" t="str">
        <f t="shared" ca="1" si="53"/>
        <v>=PODSTAW('ZAMÓWIENIE | WYCENA'!C77;"_";'ZAMÓWIENIE | WYCENA'!$K$13;1)</v>
      </c>
      <c r="X159" s="646">
        <f t="shared" ca="1" si="65"/>
        <v>10</v>
      </c>
      <c r="Y159" s="646">
        <f t="shared" ca="1" si="54"/>
        <v>35</v>
      </c>
      <c r="Z159" s="646" t="str">
        <f t="shared" ca="1" si="55"/>
        <v>'ZAMÓWIENIE | WYCENA'!C77</v>
      </c>
      <c r="AA159" s="647">
        <f t="shared" ca="1" si="58"/>
        <v>0</v>
      </c>
      <c r="AB159" s="647">
        <f t="shared" ca="1" si="58"/>
        <v>0</v>
      </c>
      <c r="AC159" s="647">
        <f t="shared" ca="1" si="58"/>
        <v>107.3</v>
      </c>
      <c r="AD159" s="646" t="str">
        <f t="shared" si="56"/>
        <v>1110-000-716M-POW200</v>
      </c>
      <c r="AE159" s="648">
        <f t="shared" ca="1" si="57"/>
        <v>107.3</v>
      </c>
    </row>
    <row r="160" spans="1:31" s="7" customFormat="1" ht="12">
      <c r="A160" s="23">
        <v>159</v>
      </c>
      <c r="B160" s="23" t="str">
        <f>SUBSTITUTE('ZAMÓWIENIE | WYCENA'!C78,"_",'ZAMÓWIENIE | WYCENA'!$K$13,1)</f>
        <v>1110-000-716M-LOJ200</v>
      </c>
      <c r="C160" s="15">
        <f>'ZAMÓWIENIE | WYCENA'!K78</f>
        <v>0</v>
      </c>
      <c r="D160" s="14">
        <v>1</v>
      </c>
      <c r="E160" s="13"/>
      <c r="F160" s="13"/>
      <c r="G160" s="13"/>
      <c r="H160" s="24">
        <f>IFERROR(IF(COUNTIFS($H$1:H159,H159)&gt;=VLOOKUP(H159,$A$2:$D$309,4,0),IF(H159=MAX($A$2:$A$317),"",Lista!H159+1),H159),"")</f>
        <v>159</v>
      </c>
      <c r="I160" s="22" t="str">
        <f t="shared" si="59"/>
        <v>1110-000-716M-LOJ200</v>
      </c>
      <c r="J160" s="24">
        <f t="shared" si="60"/>
        <v>0</v>
      </c>
      <c r="K160" s="25">
        <f t="shared" si="66"/>
        <v>0</v>
      </c>
      <c r="L160" s="26">
        <f t="shared" si="67"/>
        <v>0</v>
      </c>
      <c r="M160" s="26">
        <f t="shared" si="61"/>
        <v>0</v>
      </c>
      <c r="N160" s="26" t="str">
        <f t="shared" si="62"/>
        <v>SHO</v>
      </c>
      <c r="O160" s="26" t="str">
        <f t="shared" si="63"/>
        <v>IPT</v>
      </c>
      <c r="P160" s="25" t="str">
        <f t="shared" ca="1" si="64"/>
        <v>ND260415_0</v>
      </c>
      <c r="Q160" s="27" t="str">
        <f t="shared" ca="1" si="68"/>
        <v>2026-04-15</v>
      </c>
      <c r="R160" s="26" t="str">
        <f t="shared" si="69"/>
        <v>PLN</v>
      </c>
      <c r="S160" s="23" t="str">
        <f>IF(H160=1,VLOOKUP(COUNTIF($H$2:H160,H160),Specyfikacja!$A$5:$D$99,2,0),IF(H160=2,VLOOKUP(COUNTIF($H$2:H160,H160),Specyfikacja!$A$5:$K$99,9,0),""))</f>
        <v/>
      </c>
      <c r="T160" s="23" t="str">
        <f>IF(H160=1,VLOOKUP(COUNTIF($H$2:H160,H160),Specyfikacja!$A$5:$D$99,3,0),IF(H160=2,VLOOKUP(COUNTIF($H$2:H160,H160),Specyfikacja!$A$5:$K$99,10,0),""))</f>
        <v/>
      </c>
      <c r="U160" s="23" t="str">
        <f>SUBSTITUTE(SUBSTITUTE(IF(H160=1,VLOOKUP(COUNTIF($H$2:H160,H160),Specyfikacja!$A$5:$D$99,4,0),IF(H160=2,VLOOKUP(COUNTIF($H$2:H160,H160),Specyfikacja!$A$5:$K$99,11,0),"")),"Tak","YES"),"Nie","NO")</f>
        <v/>
      </c>
      <c r="W160" s="646" t="str">
        <f t="shared" ca="1" si="53"/>
        <v>=PODSTAW('ZAMÓWIENIE | WYCENA'!C78;"_";'ZAMÓWIENIE | WYCENA'!$K$13;1)</v>
      </c>
      <c r="X160" s="646">
        <f t="shared" ca="1" si="65"/>
        <v>10</v>
      </c>
      <c r="Y160" s="646">
        <f t="shared" ca="1" si="54"/>
        <v>35</v>
      </c>
      <c r="Z160" s="646" t="str">
        <f t="shared" ca="1" si="55"/>
        <v>'ZAMÓWIENIE | WYCENA'!C78</v>
      </c>
      <c r="AA160" s="647">
        <f t="shared" ca="1" si="58"/>
        <v>0</v>
      </c>
      <c r="AB160" s="647">
        <f t="shared" ca="1" si="58"/>
        <v>0</v>
      </c>
      <c r="AC160" s="647">
        <f t="shared" ca="1" si="58"/>
        <v>42.4</v>
      </c>
      <c r="AD160" s="646" t="str">
        <f t="shared" si="56"/>
        <v>1110-000-716M-LOJ200</v>
      </c>
      <c r="AE160" s="648">
        <f t="shared" ca="1" si="57"/>
        <v>42.4</v>
      </c>
    </row>
    <row r="161" spans="1:31" s="7" customFormat="1" ht="12">
      <c r="A161" s="23">
        <v>160</v>
      </c>
      <c r="B161" s="23" t="str">
        <f>SUBSTITUTE('ZAMÓWIENIE | WYCENA'!C75,"_",'ZAMÓWIENIE | WYCENA'!$L$13,1)</f>
        <v>1110-000-905M-POS200</v>
      </c>
      <c r="C161" s="15">
        <f>'ZAMÓWIENIE | WYCENA'!L75</f>
        <v>0</v>
      </c>
      <c r="D161" s="14">
        <v>1</v>
      </c>
      <c r="E161" s="13"/>
      <c r="F161" s="13"/>
      <c r="G161" s="13"/>
      <c r="H161" s="24">
        <f>IFERROR(IF(COUNTIFS($H$1:H160,H160)&gt;=VLOOKUP(H160,$A$2:$D$309,4,0),IF(H160=MAX($A$2:$A$317),"",Lista!H160+1),H160),"")</f>
        <v>160</v>
      </c>
      <c r="I161" s="22" t="str">
        <f t="shared" si="59"/>
        <v>1110-000-905M-POS200</v>
      </c>
      <c r="J161" s="24">
        <f t="shared" si="60"/>
        <v>0</v>
      </c>
      <c r="K161" s="25">
        <f t="shared" si="66"/>
        <v>0</v>
      </c>
      <c r="L161" s="26">
        <f t="shared" si="67"/>
        <v>0</v>
      </c>
      <c r="M161" s="26">
        <f t="shared" si="61"/>
        <v>0</v>
      </c>
      <c r="N161" s="26" t="str">
        <f t="shared" si="62"/>
        <v>SHO</v>
      </c>
      <c r="O161" s="26" t="str">
        <f t="shared" si="63"/>
        <v>IPT</v>
      </c>
      <c r="P161" s="25" t="str">
        <f t="shared" ca="1" si="64"/>
        <v>ND260415_0</v>
      </c>
      <c r="Q161" s="27" t="str">
        <f t="shared" ca="1" si="68"/>
        <v>2026-04-15</v>
      </c>
      <c r="R161" s="26" t="str">
        <f t="shared" si="69"/>
        <v>PLN</v>
      </c>
      <c r="S161" s="23" t="str">
        <f>IF(H161=1,VLOOKUP(COUNTIF($H$2:H161,H161),Specyfikacja!$A$5:$D$99,2,0),IF(H161=2,VLOOKUP(COUNTIF($H$2:H161,H161),Specyfikacja!$A$5:$K$99,9,0),""))</f>
        <v/>
      </c>
      <c r="T161" s="23" t="str">
        <f>IF(H161=1,VLOOKUP(COUNTIF($H$2:H161,H161),Specyfikacja!$A$5:$D$99,3,0),IF(H161=2,VLOOKUP(COUNTIF($H$2:H161,H161),Specyfikacja!$A$5:$K$99,10,0),""))</f>
        <v/>
      </c>
      <c r="U161" s="23" t="str">
        <f>SUBSTITUTE(SUBSTITUTE(IF(H161=1,VLOOKUP(COUNTIF($H$2:H161,H161),Specyfikacja!$A$5:$D$99,4,0),IF(H161=2,VLOOKUP(COUNTIF($H$2:H161,H161),Specyfikacja!$A$5:$K$99,11,0),"")),"Tak","YES"),"Nie","NO")</f>
        <v/>
      </c>
      <c r="W161" s="646" t="str">
        <f t="shared" ca="1" si="53"/>
        <v>=PODSTAW('ZAMÓWIENIE | WYCENA'!C75;"_";'ZAMÓWIENIE | WYCENA'!$L$13;1)</v>
      </c>
      <c r="X161" s="646">
        <f t="shared" ca="1" si="65"/>
        <v>10</v>
      </c>
      <c r="Y161" s="646">
        <f t="shared" ca="1" si="54"/>
        <v>35</v>
      </c>
      <c r="Z161" s="646" t="str">
        <f t="shared" ca="1" si="55"/>
        <v>'ZAMÓWIENIE | WYCENA'!C75</v>
      </c>
      <c r="AA161" s="647">
        <f t="shared" ca="1" si="58"/>
        <v>49.2</v>
      </c>
      <c r="AB161" s="647">
        <f t="shared" ca="1" si="58"/>
        <v>49.2</v>
      </c>
      <c r="AC161" s="647">
        <f t="shared" ca="1" si="58"/>
        <v>54.7</v>
      </c>
      <c r="AD161" s="646" t="str">
        <f t="shared" si="56"/>
        <v>1110-000-905M-POS200</v>
      </c>
      <c r="AE161" s="648">
        <f t="shared" ca="1" si="57"/>
        <v>54.7</v>
      </c>
    </row>
    <row r="162" spans="1:31" s="7" customFormat="1" ht="12">
      <c r="A162" s="23">
        <v>161</v>
      </c>
      <c r="B162" s="23" t="str">
        <f>SUBSTITUTE('ZAMÓWIENIE | WYCENA'!C76,"_",'ZAMÓWIENIE | WYCENA'!$L$13,1)</f>
        <v>1110-000-905M-PON200</v>
      </c>
      <c r="C162" s="15">
        <f>'ZAMÓWIENIE | WYCENA'!L76</f>
        <v>0</v>
      </c>
      <c r="D162" s="14">
        <v>1</v>
      </c>
      <c r="E162" s="13"/>
      <c r="F162" s="13"/>
      <c r="G162" s="13"/>
      <c r="H162" s="24">
        <f>IFERROR(IF(COUNTIFS($H$1:H161,H161)&gt;=VLOOKUP(H161,$A$2:$D$309,4,0),IF(H161=MAX($A$2:$A$317),"",Lista!H161+1),H161),"")</f>
        <v>161</v>
      </c>
      <c r="I162" s="22" t="str">
        <f t="shared" ref="I162:I193" si="72">IFERROR(IF(H162=H161,"",VLOOKUP(H162,$A$2:$B$317,2,0)),"")</f>
        <v>1110-000-905M-PON200</v>
      </c>
      <c r="J162" s="24">
        <f t="shared" ref="J162:J193" si="73">IFERROR(IF(H162=H161,"",VLOOKUP(H162,$A$2:$C$317,3,0)),"")</f>
        <v>0</v>
      </c>
      <c r="K162" s="25">
        <f t="shared" si="66"/>
        <v>0</v>
      </c>
      <c r="L162" s="26">
        <f t="shared" si="67"/>
        <v>0</v>
      </c>
      <c r="M162" s="26">
        <f t="shared" si="61"/>
        <v>0</v>
      </c>
      <c r="N162" s="26" t="str">
        <f t="shared" si="62"/>
        <v>SHO</v>
      </c>
      <c r="O162" s="26" t="str">
        <f t="shared" si="63"/>
        <v>IPT</v>
      </c>
      <c r="P162" s="25" t="str">
        <f t="shared" ca="1" si="64"/>
        <v>ND260415_0</v>
      </c>
      <c r="Q162" s="27" t="str">
        <f t="shared" ca="1" si="68"/>
        <v>2026-04-15</v>
      </c>
      <c r="R162" s="26" t="str">
        <f t="shared" si="69"/>
        <v>PLN</v>
      </c>
      <c r="S162" s="23" t="str">
        <f>IF(H162=1,VLOOKUP(COUNTIF($H$2:H162,H162),Specyfikacja!$A$5:$D$99,2,0),IF(H162=2,VLOOKUP(COUNTIF($H$2:H162,H162),Specyfikacja!$A$5:$K$99,9,0),""))</f>
        <v/>
      </c>
      <c r="T162" s="23" t="str">
        <f>IF(H162=1,VLOOKUP(COUNTIF($H$2:H162,H162),Specyfikacja!$A$5:$D$99,3,0),IF(H162=2,VLOOKUP(COUNTIF($H$2:H162,H162),Specyfikacja!$A$5:$K$99,10,0),""))</f>
        <v/>
      </c>
      <c r="U162" s="23" t="str">
        <f>SUBSTITUTE(SUBSTITUTE(IF(H162=1,VLOOKUP(COUNTIF($H$2:H162,H162),Specyfikacja!$A$5:$D$99,4,0),IF(H162=2,VLOOKUP(COUNTIF($H$2:H162,H162),Specyfikacja!$A$5:$K$99,11,0),"")),"Tak","YES"),"Nie","NO")</f>
        <v/>
      </c>
      <c r="W162" s="646" t="str">
        <f t="shared" ca="1" si="53"/>
        <v>=PODSTAW('ZAMÓWIENIE | WYCENA'!C76;"_";'ZAMÓWIENIE | WYCENA'!$L$13;1)</v>
      </c>
      <c r="X162" s="646">
        <f t="shared" ca="1" si="65"/>
        <v>10</v>
      </c>
      <c r="Y162" s="646">
        <f t="shared" ca="1" si="54"/>
        <v>35</v>
      </c>
      <c r="Z162" s="646" t="str">
        <f t="shared" ca="1" si="55"/>
        <v>'ZAMÓWIENIE | WYCENA'!C76</v>
      </c>
      <c r="AA162" s="647">
        <f t="shared" ca="1" si="58"/>
        <v>26.9</v>
      </c>
      <c r="AB162" s="647">
        <f t="shared" ca="1" si="58"/>
        <v>26.9</v>
      </c>
      <c r="AC162" s="647">
        <f t="shared" ca="1" si="58"/>
        <v>29.9</v>
      </c>
      <c r="AD162" s="646" t="str">
        <f t="shared" si="56"/>
        <v>1110-000-905M-PON200</v>
      </c>
      <c r="AE162" s="648">
        <f t="shared" ca="1" si="57"/>
        <v>29.9</v>
      </c>
    </row>
    <row r="163" spans="1:31" s="7" customFormat="1" ht="12">
      <c r="A163" s="23">
        <v>162</v>
      </c>
      <c r="B163" s="23" t="str">
        <f>SUBSTITUTE('ZAMÓWIENIE | WYCENA'!C77,"_",'ZAMÓWIENIE | WYCENA'!$L$13,1)</f>
        <v>1110-000-905M-POW200</v>
      </c>
      <c r="C163" s="15">
        <f>'ZAMÓWIENIE | WYCENA'!L77</f>
        <v>0</v>
      </c>
      <c r="D163" s="14">
        <v>1</v>
      </c>
      <c r="E163" s="13"/>
      <c r="F163" s="13"/>
      <c r="G163" s="13"/>
      <c r="H163" s="24">
        <f>IFERROR(IF(COUNTIFS($H$1:H162,H162)&gt;=VLOOKUP(H162,$A$2:$D$309,4,0),IF(H162=MAX($A$2:$A$317),"",Lista!H162+1),H162),"")</f>
        <v>162</v>
      </c>
      <c r="I163" s="22" t="str">
        <f t="shared" si="72"/>
        <v>1110-000-905M-POW200</v>
      </c>
      <c r="J163" s="24">
        <f t="shared" si="73"/>
        <v>0</v>
      </c>
      <c r="K163" s="25">
        <f t="shared" si="66"/>
        <v>0</v>
      </c>
      <c r="L163" s="26">
        <f t="shared" si="67"/>
        <v>0</v>
      </c>
      <c r="M163" s="26">
        <f t="shared" si="61"/>
        <v>0</v>
      </c>
      <c r="N163" s="26" t="str">
        <f t="shared" si="62"/>
        <v>SHO</v>
      </c>
      <c r="O163" s="26" t="str">
        <f t="shared" si="63"/>
        <v>IPT</v>
      </c>
      <c r="P163" s="25" t="str">
        <f t="shared" ca="1" si="64"/>
        <v>ND260415_0</v>
      </c>
      <c r="Q163" s="27" t="str">
        <f t="shared" ca="1" si="68"/>
        <v>2026-04-15</v>
      </c>
      <c r="R163" s="26" t="str">
        <f t="shared" si="69"/>
        <v>PLN</v>
      </c>
      <c r="S163" s="23" t="str">
        <f>IF(H163=1,VLOOKUP(COUNTIF($H$2:H163,H163),Specyfikacja!$A$5:$D$99,2,0),IF(H163=2,VLOOKUP(COUNTIF($H$2:H163,H163),Specyfikacja!$A$5:$K$99,9,0),""))</f>
        <v/>
      </c>
      <c r="T163" s="23" t="str">
        <f>IF(H163=1,VLOOKUP(COUNTIF($H$2:H163,H163),Specyfikacja!$A$5:$D$99,3,0),IF(H163=2,VLOOKUP(COUNTIF($H$2:H163,H163),Specyfikacja!$A$5:$K$99,10,0),""))</f>
        <v/>
      </c>
      <c r="U163" s="23" t="str">
        <f>SUBSTITUTE(SUBSTITUTE(IF(H163=1,VLOOKUP(COUNTIF($H$2:H163,H163),Specyfikacja!$A$5:$D$99,4,0),IF(H163=2,VLOOKUP(COUNTIF($H$2:H163,H163),Specyfikacja!$A$5:$K$99,11,0),"")),"Tak","YES"),"Nie","NO")</f>
        <v/>
      </c>
      <c r="W163" s="646" t="str">
        <f t="shared" ca="1" si="53"/>
        <v>=PODSTAW('ZAMÓWIENIE | WYCENA'!C77;"_";'ZAMÓWIENIE | WYCENA'!$L$13;1)</v>
      </c>
      <c r="X163" s="646">
        <f t="shared" ca="1" si="65"/>
        <v>10</v>
      </c>
      <c r="Y163" s="646">
        <f t="shared" ca="1" si="54"/>
        <v>35</v>
      </c>
      <c r="Z163" s="646" t="str">
        <f t="shared" ca="1" si="55"/>
        <v>'ZAMÓWIENIE | WYCENA'!C77</v>
      </c>
      <c r="AA163" s="647">
        <f t="shared" ca="1" si="58"/>
        <v>0</v>
      </c>
      <c r="AB163" s="647">
        <f t="shared" ca="1" si="58"/>
        <v>0</v>
      </c>
      <c r="AC163" s="647">
        <f t="shared" ca="1" si="58"/>
        <v>107.3</v>
      </c>
      <c r="AD163" s="646" t="str">
        <f t="shared" si="56"/>
        <v>1110-000-905M-POW200</v>
      </c>
      <c r="AE163" s="648">
        <f t="shared" ca="1" si="57"/>
        <v>107.3</v>
      </c>
    </row>
    <row r="164" spans="1:31" s="7" customFormat="1" ht="12">
      <c r="A164" s="23">
        <v>163</v>
      </c>
      <c r="B164" s="23" t="str">
        <f>SUBSTITUTE('ZAMÓWIENIE | WYCENA'!C78,"_",'ZAMÓWIENIE | WYCENA'!$L$13,1)</f>
        <v>1110-000-905M-LOJ200</v>
      </c>
      <c r="C164" s="15">
        <f>'ZAMÓWIENIE | WYCENA'!L78</f>
        <v>0</v>
      </c>
      <c r="D164" s="14">
        <v>1</v>
      </c>
      <c r="E164" s="13"/>
      <c r="F164" s="13"/>
      <c r="G164" s="13"/>
      <c r="H164" s="24">
        <f>IFERROR(IF(COUNTIFS($H$1:H163,H163)&gt;=VLOOKUP(H163,$A$2:$D$309,4,0),IF(H163=MAX($A$2:$A$317),"",Lista!H163+1),H163),"")</f>
        <v>163</v>
      </c>
      <c r="I164" s="22" t="str">
        <f t="shared" si="72"/>
        <v>1110-000-905M-LOJ200</v>
      </c>
      <c r="J164" s="24">
        <f t="shared" si="73"/>
        <v>0</v>
      </c>
      <c r="K164" s="25">
        <f t="shared" si="66"/>
        <v>0</v>
      </c>
      <c r="L164" s="26">
        <f t="shared" si="67"/>
        <v>0</v>
      </c>
      <c r="M164" s="26">
        <f t="shared" si="61"/>
        <v>0</v>
      </c>
      <c r="N164" s="26" t="str">
        <f t="shared" si="62"/>
        <v>SHO</v>
      </c>
      <c r="O164" s="26" t="str">
        <f t="shared" si="63"/>
        <v>IPT</v>
      </c>
      <c r="P164" s="25" t="str">
        <f t="shared" ca="1" si="64"/>
        <v>ND260415_0</v>
      </c>
      <c r="Q164" s="27" t="str">
        <f t="shared" ca="1" si="68"/>
        <v>2026-04-15</v>
      </c>
      <c r="R164" s="26" t="str">
        <f t="shared" si="69"/>
        <v>PLN</v>
      </c>
      <c r="S164" s="23" t="str">
        <f>IF(H164=1,VLOOKUP(COUNTIF($H$2:H164,H164),Specyfikacja!$A$5:$D$99,2,0),IF(H164=2,VLOOKUP(COUNTIF($H$2:H164,H164),Specyfikacja!$A$5:$K$99,9,0),""))</f>
        <v/>
      </c>
      <c r="T164" s="23" t="str">
        <f>IF(H164=1,VLOOKUP(COUNTIF($H$2:H164,H164),Specyfikacja!$A$5:$D$99,3,0),IF(H164=2,VLOOKUP(COUNTIF($H$2:H164,H164),Specyfikacja!$A$5:$K$99,10,0),""))</f>
        <v/>
      </c>
      <c r="U164" s="23" t="str">
        <f>SUBSTITUTE(SUBSTITUTE(IF(H164=1,VLOOKUP(COUNTIF($H$2:H164,H164),Specyfikacja!$A$5:$D$99,4,0),IF(H164=2,VLOOKUP(COUNTIF($H$2:H164,H164),Specyfikacja!$A$5:$K$99,11,0),"")),"Tak","YES"),"Nie","NO")</f>
        <v/>
      </c>
      <c r="W164" s="646" t="str">
        <f t="shared" ca="1" si="53"/>
        <v>=PODSTAW('ZAMÓWIENIE | WYCENA'!C78;"_";'ZAMÓWIENIE | WYCENA'!$L$13;1)</v>
      </c>
      <c r="X164" s="646">
        <f t="shared" ca="1" si="65"/>
        <v>10</v>
      </c>
      <c r="Y164" s="646">
        <f t="shared" ca="1" si="54"/>
        <v>35</v>
      </c>
      <c r="Z164" s="646" t="str">
        <f t="shared" ca="1" si="55"/>
        <v>'ZAMÓWIENIE | WYCENA'!C78</v>
      </c>
      <c r="AA164" s="647">
        <f t="shared" ca="1" si="58"/>
        <v>0</v>
      </c>
      <c r="AB164" s="647">
        <f t="shared" ca="1" si="58"/>
        <v>0</v>
      </c>
      <c r="AC164" s="647">
        <f t="shared" ca="1" si="58"/>
        <v>42.4</v>
      </c>
      <c r="AD164" s="646" t="str">
        <f t="shared" si="56"/>
        <v>1110-000-905M-LOJ200</v>
      </c>
      <c r="AE164" s="648">
        <f t="shared" ca="1" si="57"/>
        <v>42.4</v>
      </c>
    </row>
    <row r="165" spans="1:31" s="7" customFormat="1" ht="12">
      <c r="A165" s="23">
        <v>164</v>
      </c>
      <c r="B165" s="23" t="str">
        <f>'ZAMÓWIENIE | WYCENA'!C107</f>
        <v>1113-050-000X-PAZ200</v>
      </c>
      <c r="C165" s="15">
        <f>'ZAMÓWIENIE | WYCENA'!F107</f>
        <v>0</v>
      </c>
      <c r="D165" s="14">
        <v>1</v>
      </c>
      <c r="E165" s="13"/>
      <c r="F165" s="13"/>
      <c r="G165" s="13"/>
      <c r="H165" s="24">
        <f>IFERROR(IF(COUNTIFS($H$1:H164,H164)&gt;=VLOOKUP(H164,$A$2:$D$309,4,0),IF(H164=MAX($A$2:$A$317),"",Lista!H164+1),H164),"")</f>
        <v>164</v>
      </c>
      <c r="I165" s="22" t="str">
        <f t="shared" si="72"/>
        <v>1113-050-000X-PAZ200</v>
      </c>
      <c r="J165" s="24">
        <f t="shared" si="73"/>
        <v>0</v>
      </c>
      <c r="K165" s="25">
        <f t="shared" si="66"/>
        <v>0</v>
      </c>
      <c r="L165" s="26">
        <f t="shared" si="67"/>
        <v>0</v>
      </c>
      <c r="M165" s="26">
        <f t="shared" si="61"/>
        <v>0</v>
      </c>
      <c r="N165" s="26" t="str">
        <f t="shared" si="62"/>
        <v>SHO</v>
      </c>
      <c r="O165" s="26" t="str">
        <f t="shared" si="63"/>
        <v>IPT</v>
      </c>
      <c r="P165" s="25" t="str">
        <f t="shared" ca="1" si="64"/>
        <v>ND260415_0</v>
      </c>
      <c r="Q165" s="27" t="str">
        <f t="shared" ca="1" si="68"/>
        <v>2026-04-15</v>
      </c>
      <c r="R165" s="26" t="str">
        <f t="shared" si="69"/>
        <v>PLN</v>
      </c>
      <c r="S165" s="23" t="str">
        <f>IF(H165=1,VLOOKUP(COUNTIF($H$2:H165,H165),Specyfikacja!$A$5:$D$99,2,0),IF(H165=2,VLOOKUP(COUNTIF($H$2:H165,H165),Specyfikacja!$A$5:$K$99,9,0),""))</f>
        <v/>
      </c>
      <c r="T165" s="23" t="str">
        <f>IF(H165=1,VLOOKUP(COUNTIF($H$2:H165,H165),Specyfikacja!$A$5:$D$99,3,0),IF(H165=2,VLOOKUP(COUNTIF($H$2:H165,H165),Specyfikacja!$A$5:$K$99,10,0),""))</f>
        <v/>
      </c>
      <c r="U165" s="23" t="str">
        <f>SUBSTITUTE(SUBSTITUTE(IF(H165=1,VLOOKUP(COUNTIF($H$2:H165,H165),Specyfikacja!$A$5:$D$99,4,0),IF(H165=2,VLOOKUP(COUNTIF($H$2:H165,H165),Specyfikacja!$A$5:$K$99,11,0),"")),"Tak","YES"),"Nie","NO")</f>
        <v/>
      </c>
      <c r="W165" s="646" t="str">
        <f t="shared" ca="1" si="53"/>
        <v>='ZAMÓWIENIE | WYCENA'!C107</v>
      </c>
      <c r="X165" s="646"/>
      <c r="Y165" s="646"/>
      <c r="Z165" s="650" t="s">
        <v>792</v>
      </c>
      <c r="AA165" s="647">
        <f t="shared" ca="1" si="58"/>
        <v>75.2</v>
      </c>
      <c r="AB165" s="647">
        <f t="shared" ca="1" si="58"/>
        <v>0</v>
      </c>
      <c r="AC165" s="647">
        <f t="shared" ca="1" si="58"/>
        <v>0</v>
      </c>
      <c r="AD165" s="646" t="str">
        <f t="shared" si="56"/>
        <v>1113-050-000X-PAZ200</v>
      </c>
      <c r="AE165" s="648">
        <f t="shared" ca="1" si="57"/>
        <v>75.2</v>
      </c>
    </row>
    <row r="166" spans="1:31" s="7" customFormat="1" ht="12">
      <c r="A166" s="23">
        <v>165</v>
      </c>
      <c r="B166" s="23" t="str">
        <f>'ZAMÓWIENIE | WYCENA'!C108</f>
        <v>1113-050-000X-PAD200</v>
      </c>
      <c r="C166" s="15">
        <f>'ZAMÓWIENIE | WYCENA'!F108</f>
        <v>0</v>
      </c>
      <c r="D166" s="14">
        <v>1</v>
      </c>
      <c r="E166" s="13"/>
      <c r="F166" s="13"/>
      <c r="G166" s="13"/>
      <c r="H166" s="24">
        <f>IFERROR(IF(COUNTIFS($H$1:H165,H165)&gt;=VLOOKUP(H165,$A$2:$D$309,4,0),IF(H165=MAX($A$2:$A$317),"",Lista!H165+1),H165),"")</f>
        <v>165</v>
      </c>
      <c r="I166" s="22" t="str">
        <f t="shared" si="72"/>
        <v>1113-050-000X-PAD200</v>
      </c>
      <c r="J166" s="24">
        <f t="shared" si="73"/>
        <v>0</v>
      </c>
      <c r="K166" s="25">
        <f t="shared" si="66"/>
        <v>0</v>
      </c>
      <c r="L166" s="26">
        <f t="shared" si="67"/>
        <v>0</v>
      </c>
      <c r="M166" s="26">
        <f t="shared" si="61"/>
        <v>0</v>
      </c>
      <c r="N166" s="26" t="str">
        <f t="shared" si="62"/>
        <v>SHO</v>
      </c>
      <c r="O166" s="26" t="str">
        <f t="shared" si="63"/>
        <v>IPT</v>
      </c>
      <c r="P166" s="25" t="str">
        <f t="shared" ca="1" si="64"/>
        <v>ND260415_0</v>
      </c>
      <c r="Q166" s="27" t="str">
        <f t="shared" ca="1" si="68"/>
        <v>2026-04-15</v>
      </c>
      <c r="R166" s="26" t="str">
        <f t="shared" si="69"/>
        <v>PLN</v>
      </c>
      <c r="S166" s="23" t="str">
        <f>IF(H166=1,VLOOKUP(COUNTIF($H$2:H166,H166),Specyfikacja!$A$5:$D$99,2,0),IF(H166=2,VLOOKUP(COUNTIF($H$2:H166,H166),Specyfikacja!$A$5:$K$99,9,0),""))</f>
        <v/>
      </c>
      <c r="T166" s="23" t="str">
        <f>IF(H166=1,VLOOKUP(COUNTIF($H$2:H166,H166),Specyfikacja!$A$5:$D$99,3,0),IF(H166=2,VLOOKUP(COUNTIF($H$2:H166,H166),Specyfikacja!$A$5:$K$99,10,0),""))</f>
        <v/>
      </c>
      <c r="U166" s="23" t="str">
        <f>SUBSTITUTE(SUBSTITUTE(IF(H166=1,VLOOKUP(COUNTIF($H$2:H166,H166),Specyfikacja!$A$5:$D$99,4,0),IF(H166=2,VLOOKUP(COUNTIF($H$2:H166,H166),Specyfikacja!$A$5:$K$99,11,0),"")),"Tak","YES"),"Nie","NO")</f>
        <v/>
      </c>
      <c r="W166" s="646" t="str">
        <f t="shared" ca="1" si="53"/>
        <v>='ZAMÓWIENIE | WYCENA'!C108</v>
      </c>
      <c r="X166" s="646"/>
      <c r="Y166" s="646"/>
      <c r="Z166" s="650" t="s">
        <v>793</v>
      </c>
      <c r="AA166" s="647">
        <f t="shared" ca="1" si="58"/>
        <v>134</v>
      </c>
      <c r="AB166" s="647">
        <f t="shared" ca="1" si="58"/>
        <v>0</v>
      </c>
      <c r="AC166" s="647">
        <f t="shared" ca="1" si="58"/>
        <v>0</v>
      </c>
      <c r="AD166" s="646" t="str">
        <f t="shared" si="56"/>
        <v>1113-050-000X-PAD200</v>
      </c>
      <c r="AE166" s="648">
        <f t="shared" ca="1" si="57"/>
        <v>134</v>
      </c>
    </row>
    <row r="167" spans="1:31" s="7" customFormat="1" ht="12">
      <c r="A167" s="23">
        <v>166</v>
      </c>
      <c r="B167" s="23" t="str">
        <f>'ZAMÓWIENIE | WYCENA'!C109</f>
        <v>1110-050-000X-WOA300</v>
      </c>
      <c r="C167" s="15">
        <f>'ZAMÓWIENIE | WYCENA'!F109</f>
        <v>0</v>
      </c>
      <c r="D167" s="14">
        <v>1</v>
      </c>
      <c r="E167" s="13"/>
      <c r="F167" s="13"/>
      <c r="G167" s="13"/>
      <c r="H167" s="24">
        <f>IFERROR(IF(COUNTIFS($H$1:H166,H166)&gt;=VLOOKUP(H166,$A$2:$D$309,4,0),IF(H166=MAX($A$2:$A$317),"",Lista!H166+1),H166),"")</f>
        <v>166</v>
      </c>
      <c r="I167" s="22" t="str">
        <f t="shared" si="72"/>
        <v>1110-050-000X-WOA300</v>
      </c>
      <c r="J167" s="24">
        <f t="shared" si="73"/>
        <v>0</v>
      </c>
      <c r="K167" s="25">
        <f t="shared" si="66"/>
        <v>0</v>
      </c>
      <c r="L167" s="26">
        <f t="shared" si="67"/>
        <v>0</v>
      </c>
      <c r="M167" s="26">
        <f t="shared" si="61"/>
        <v>0</v>
      </c>
      <c r="N167" s="26" t="str">
        <f t="shared" si="62"/>
        <v>SHO</v>
      </c>
      <c r="O167" s="26" t="str">
        <f t="shared" si="63"/>
        <v>IPT</v>
      </c>
      <c r="P167" s="25" t="str">
        <f t="shared" ca="1" si="64"/>
        <v>ND260415_0</v>
      </c>
      <c r="Q167" s="27" t="str">
        <f t="shared" ca="1" si="68"/>
        <v>2026-04-15</v>
      </c>
      <c r="R167" s="26" t="str">
        <f t="shared" si="69"/>
        <v>PLN</v>
      </c>
      <c r="S167" s="23" t="str">
        <f>IF(H167=1,VLOOKUP(COUNTIF($H$2:H167,H167),Specyfikacja!$A$5:$D$99,2,0),IF(H167=2,VLOOKUP(COUNTIF($H$2:H167,H167),Specyfikacja!$A$5:$K$99,9,0),""))</f>
        <v/>
      </c>
      <c r="T167" s="23" t="str">
        <f>IF(H167=1,VLOOKUP(COUNTIF($H$2:H167,H167),Specyfikacja!$A$5:$D$99,3,0),IF(H167=2,VLOOKUP(COUNTIF($H$2:H167,H167),Specyfikacja!$A$5:$K$99,10,0),""))</f>
        <v/>
      </c>
      <c r="U167" s="23" t="str">
        <f>SUBSTITUTE(SUBSTITUTE(IF(H167=1,VLOOKUP(COUNTIF($H$2:H167,H167),Specyfikacja!$A$5:$D$99,4,0),IF(H167=2,VLOOKUP(COUNTIF($H$2:H167,H167),Specyfikacja!$A$5:$K$99,11,0),"")),"Tak","YES"),"Nie","NO")</f>
        <v/>
      </c>
      <c r="W167" s="646" t="str">
        <f t="shared" ca="1" si="53"/>
        <v>='ZAMÓWIENIE | WYCENA'!C109</v>
      </c>
      <c r="X167" s="646"/>
      <c r="Y167" s="646"/>
      <c r="Z167" s="650" t="s">
        <v>794</v>
      </c>
      <c r="AA167" s="647">
        <f t="shared" ca="1" si="58"/>
        <v>48.8</v>
      </c>
      <c r="AB167" s="647">
        <f t="shared" ca="1" si="58"/>
        <v>0</v>
      </c>
      <c r="AC167" s="647">
        <f t="shared" ca="1" si="58"/>
        <v>0</v>
      </c>
      <c r="AD167" s="646" t="str">
        <f t="shared" si="56"/>
        <v>1110-050-000X-WOA300</v>
      </c>
      <c r="AE167" s="648">
        <f t="shared" ca="1" si="57"/>
        <v>48.8</v>
      </c>
    </row>
    <row r="168" spans="1:31" s="7" customFormat="1" ht="12">
      <c r="A168" s="23">
        <v>167</v>
      </c>
      <c r="B168" s="23" t="str">
        <f>SUBSTITUTE('ZAMÓWIENIE | WYCENA'!C113,"_",'ZAMÓWIENIE | WYCENA'!$F$112,1)</f>
        <v>1022-080-721S-RUR400</v>
      </c>
      <c r="C168" s="15">
        <f>'ZAMÓWIENIE | WYCENA'!F113</f>
        <v>0</v>
      </c>
      <c r="D168" s="14">
        <v>1</v>
      </c>
      <c r="E168" s="13"/>
      <c r="F168" s="13"/>
      <c r="G168" s="13"/>
      <c r="H168" s="24">
        <f>IFERROR(IF(COUNTIFS($H$1:H167,H167)&gt;=VLOOKUP(H167,$A$2:$D$309,4,0),IF(H167=MAX($A$2:$A$317),"",Lista!H167+1),H167),"")</f>
        <v>167</v>
      </c>
      <c r="I168" s="22" t="str">
        <f t="shared" si="72"/>
        <v>1022-080-721S-RUR400</v>
      </c>
      <c r="J168" s="24">
        <f t="shared" si="73"/>
        <v>0</v>
      </c>
      <c r="K168" s="25">
        <f t="shared" si="66"/>
        <v>0</v>
      </c>
      <c r="L168" s="26">
        <f t="shared" si="67"/>
        <v>0</v>
      </c>
      <c r="M168" s="26">
        <f t="shared" si="61"/>
        <v>0</v>
      </c>
      <c r="N168" s="26" t="str">
        <f t="shared" si="62"/>
        <v>SHO</v>
      </c>
      <c r="O168" s="26" t="str">
        <f t="shared" si="63"/>
        <v>IPT</v>
      </c>
      <c r="P168" s="25" t="str">
        <f t="shared" ca="1" si="64"/>
        <v>ND260415_0</v>
      </c>
      <c r="Q168" s="27" t="str">
        <f t="shared" ca="1" si="68"/>
        <v>2026-04-15</v>
      </c>
      <c r="R168" s="26" t="str">
        <f t="shared" si="69"/>
        <v>PLN</v>
      </c>
      <c r="S168" s="23" t="str">
        <f>IF(H168=1,VLOOKUP(COUNTIF($H$2:H168,H168),Specyfikacja!$A$5:$D$99,2,0),IF(H168=2,VLOOKUP(COUNTIF($H$2:H168,H168),Specyfikacja!$A$5:$K$99,9,0),""))</f>
        <v/>
      </c>
      <c r="T168" s="23" t="str">
        <f>IF(H168=1,VLOOKUP(COUNTIF($H$2:H168,H168),Specyfikacja!$A$5:$D$99,3,0),IF(H168=2,VLOOKUP(COUNTIF($H$2:H168,H168),Specyfikacja!$A$5:$K$99,10,0),""))</f>
        <v/>
      </c>
      <c r="U168" s="23" t="str">
        <f>SUBSTITUTE(SUBSTITUTE(IF(H168=1,VLOOKUP(COUNTIF($H$2:H168,H168),Specyfikacja!$A$5:$D$99,4,0),IF(H168=2,VLOOKUP(COUNTIF($H$2:H168,H168),Specyfikacja!$A$5:$K$99,11,0),"")),"Tak","YES"),"Nie","NO")</f>
        <v/>
      </c>
      <c r="W168" s="646" t="str">
        <f t="shared" ca="1" si="53"/>
        <v>=PODSTAW('ZAMÓWIENIE | WYCENA'!C113;"_";'ZAMÓWIENIE | WYCENA'!$F$112;1)</v>
      </c>
      <c r="X168" s="646">
        <f t="shared" ca="1" si="65"/>
        <v>10</v>
      </c>
      <c r="Y168" s="646">
        <f t="shared" ca="1" si="54"/>
        <v>36</v>
      </c>
      <c r="Z168" s="646" t="str">
        <f t="shared" ca="1" si="55"/>
        <v>'ZAMÓWIENIE | WYCENA'!C113</v>
      </c>
      <c r="AA168" s="647">
        <f t="shared" ca="1" si="58"/>
        <v>135.80000000000001</v>
      </c>
      <c r="AB168" s="647">
        <f t="shared" ca="1" si="58"/>
        <v>0</v>
      </c>
      <c r="AC168" s="647">
        <f t="shared" ca="1" si="58"/>
        <v>0</v>
      </c>
      <c r="AD168" s="646" t="str">
        <f t="shared" si="56"/>
        <v>1022-080-721S-RUR400</v>
      </c>
      <c r="AE168" s="648">
        <f t="shared" ca="1" si="57"/>
        <v>135.80000000000001</v>
      </c>
    </row>
    <row r="169" spans="1:31" s="7" customFormat="1" ht="12">
      <c r="A169" s="23">
        <v>168</v>
      </c>
      <c r="B169" s="23" t="str">
        <f>SUBSTITUTE('ZAMÓWIENIE | WYCENA'!C114,"_",'ZAMÓWIENIE | WYCENA'!$F$112,1)</f>
        <v>1062-080-721S-MUF000</v>
      </c>
      <c r="C169" s="15">
        <f>'ZAMÓWIENIE | WYCENA'!F114</f>
        <v>0</v>
      </c>
      <c r="D169" s="14">
        <v>1</v>
      </c>
      <c r="E169" s="13"/>
      <c r="F169" s="13"/>
      <c r="G169" s="13"/>
      <c r="H169" s="24">
        <f>IFERROR(IF(COUNTIFS($H$1:H168,H168)&gt;=VLOOKUP(H168,$A$2:$D$309,4,0),IF(H168=MAX($A$2:$A$317),"",Lista!H168+1),H168),"")</f>
        <v>168</v>
      </c>
      <c r="I169" s="22" t="str">
        <f t="shared" si="72"/>
        <v>1062-080-721S-MUF000</v>
      </c>
      <c r="J169" s="24">
        <f t="shared" si="73"/>
        <v>0</v>
      </c>
      <c r="K169" s="25">
        <f t="shared" si="66"/>
        <v>0</v>
      </c>
      <c r="L169" s="26">
        <f t="shared" si="67"/>
        <v>0</v>
      </c>
      <c r="M169" s="26">
        <f t="shared" si="61"/>
        <v>0</v>
      </c>
      <c r="N169" s="26" t="str">
        <f t="shared" si="62"/>
        <v>SHO</v>
      </c>
      <c r="O169" s="26" t="str">
        <f t="shared" si="63"/>
        <v>IPT</v>
      </c>
      <c r="P169" s="25" t="str">
        <f t="shared" ca="1" si="64"/>
        <v>ND260415_0</v>
      </c>
      <c r="Q169" s="27" t="str">
        <f t="shared" ca="1" si="68"/>
        <v>2026-04-15</v>
      </c>
      <c r="R169" s="26" t="str">
        <f t="shared" si="69"/>
        <v>PLN</v>
      </c>
      <c r="S169" s="23" t="str">
        <f>IF(H169=1,VLOOKUP(COUNTIF($H$2:H169,H169),Specyfikacja!$A$5:$D$99,2,0),IF(H169=2,VLOOKUP(COUNTIF($H$2:H169,H169),Specyfikacja!$A$5:$K$99,9,0),""))</f>
        <v/>
      </c>
      <c r="T169" s="23" t="str">
        <f>IF(H169=1,VLOOKUP(COUNTIF($H$2:H169,H169),Specyfikacja!$A$5:$D$99,3,0),IF(H169=2,VLOOKUP(COUNTIF($H$2:H169,H169),Specyfikacja!$A$5:$K$99,10,0),""))</f>
        <v/>
      </c>
      <c r="U169" s="23" t="str">
        <f>SUBSTITUTE(SUBSTITUTE(IF(H169=1,VLOOKUP(COUNTIF($H$2:H169,H169),Specyfikacja!$A$5:$D$99,4,0),IF(H169=2,VLOOKUP(COUNTIF($H$2:H169,H169),Specyfikacja!$A$5:$K$99,11,0),"")),"Tak","YES"),"Nie","NO")</f>
        <v/>
      </c>
      <c r="W169" s="646" t="str">
        <f t="shared" ca="1" si="53"/>
        <v>=PODSTAW('ZAMÓWIENIE | WYCENA'!C114;"_";'ZAMÓWIENIE | WYCENA'!$F$112;1)</v>
      </c>
      <c r="X169" s="646">
        <f t="shared" ca="1" si="65"/>
        <v>10</v>
      </c>
      <c r="Y169" s="646">
        <f t="shared" ca="1" si="54"/>
        <v>36</v>
      </c>
      <c r="Z169" s="646" t="str">
        <f t="shared" ca="1" si="55"/>
        <v>'ZAMÓWIENIE | WYCENA'!C114</v>
      </c>
      <c r="AA169" s="647">
        <f t="shared" ca="1" si="58"/>
        <v>29.1</v>
      </c>
      <c r="AB169" s="647">
        <f t="shared" ca="1" si="58"/>
        <v>0</v>
      </c>
      <c r="AC169" s="647">
        <f t="shared" ca="1" si="58"/>
        <v>0</v>
      </c>
      <c r="AD169" s="646" t="str">
        <f t="shared" si="56"/>
        <v>1062-080-721S-MUF000</v>
      </c>
      <c r="AE169" s="648">
        <f t="shared" ca="1" si="57"/>
        <v>29.1</v>
      </c>
    </row>
    <row r="170" spans="1:31" s="7" customFormat="1" ht="12">
      <c r="A170" s="23">
        <v>169</v>
      </c>
      <c r="B170" s="23" t="str">
        <f>SUBSTITUTE('ZAMÓWIENIE | WYCENA'!C115,"_",'ZAMÓWIENIE | WYCENA'!$F$112,1)</f>
        <v>1022-080-721S-KOL067</v>
      </c>
      <c r="C170" s="15">
        <f>'ZAMÓWIENIE | WYCENA'!F115</f>
        <v>0</v>
      </c>
      <c r="D170" s="14">
        <v>1</v>
      </c>
      <c r="E170" s="13"/>
      <c r="F170" s="13"/>
      <c r="G170" s="13"/>
      <c r="H170" s="24">
        <f>IFERROR(IF(COUNTIFS($H$1:H169,H169)&gt;=VLOOKUP(H169,$A$2:$D$309,4,0),IF(H169=MAX($A$2:$A$317),"",Lista!H169+1),H169),"")</f>
        <v>169</v>
      </c>
      <c r="I170" s="22" t="str">
        <f t="shared" si="72"/>
        <v>1022-080-721S-KOL067</v>
      </c>
      <c r="J170" s="24">
        <f t="shared" si="73"/>
        <v>0</v>
      </c>
      <c r="K170" s="25">
        <f t="shared" si="66"/>
        <v>0</v>
      </c>
      <c r="L170" s="26">
        <f t="shared" si="67"/>
        <v>0</v>
      </c>
      <c r="M170" s="26">
        <f t="shared" si="61"/>
        <v>0</v>
      </c>
      <c r="N170" s="26" t="str">
        <f t="shared" si="62"/>
        <v>SHO</v>
      </c>
      <c r="O170" s="26" t="str">
        <f t="shared" si="63"/>
        <v>IPT</v>
      </c>
      <c r="P170" s="25" t="str">
        <f t="shared" ca="1" si="64"/>
        <v>ND260415_0</v>
      </c>
      <c r="Q170" s="27" t="str">
        <f t="shared" ca="1" si="68"/>
        <v>2026-04-15</v>
      </c>
      <c r="R170" s="26" t="str">
        <f t="shared" si="69"/>
        <v>PLN</v>
      </c>
      <c r="S170" s="23" t="str">
        <f>IF(H170=1,VLOOKUP(COUNTIF($H$2:H170,H170),Specyfikacja!$A$5:$D$99,2,0),IF(H170=2,VLOOKUP(COUNTIF($H$2:H170,H170),Specyfikacja!$A$5:$K$99,9,0),""))</f>
        <v/>
      </c>
      <c r="T170" s="23" t="str">
        <f>IF(H170=1,VLOOKUP(COUNTIF($H$2:H170,H170),Specyfikacja!$A$5:$D$99,3,0),IF(H170=2,VLOOKUP(COUNTIF($H$2:H170,H170),Specyfikacja!$A$5:$K$99,10,0),""))</f>
        <v/>
      </c>
      <c r="U170" s="23" t="str">
        <f>SUBSTITUTE(SUBSTITUTE(IF(H170=1,VLOOKUP(COUNTIF($H$2:H170,H170),Specyfikacja!$A$5:$D$99,4,0),IF(H170=2,VLOOKUP(COUNTIF($H$2:H170,H170),Specyfikacja!$A$5:$K$99,11,0),"")),"Tak","YES"),"Nie","NO")</f>
        <v/>
      </c>
      <c r="W170" s="646" t="str">
        <f t="shared" ca="1" si="53"/>
        <v>=PODSTAW('ZAMÓWIENIE | WYCENA'!C115;"_";'ZAMÓWIENIE | WYCENA'!$F$112;1)</v>
      </c>
      <c r="X170" s="646">
        <f t="shared" ca="1" si="65"/>
        <v>10</v>
      </c>
      <c r="Y170" s="646">
        <f t="shared" ca="1" si="54"/>
        <v>36</v>
      </c>
      <c r="Z170" s="646" t="str">
        <f t="shared" ca="1" si="55"/>
        <v>'ZAMÓWIENIE | WYCENA'!C115</v>
      </c>
      <c r="AA170" s="647">
        <f t="shared" ca="1" si="58"/>
        <v>38.799999999999997</v>
      </c>
      <c r="AB170" s="647">
        <f t="shared" ca="1" si="58"/>
        <v>0</v>
      </c>
      <c r="AC170" s="647">
        <f t="shared" ca="1" si="58"/>
        <v>0</v>
      </c>
      <c r="AD170" s="646" t="str">
        <f t="shared" si="56"/>
        <v>1022-080-721S-KOL067</v>
      </c>
      <c r="AE170" s="648">
        <f t="shared" ca="1" si="57"/>
        <v>38.799999999999997</v>
      </c>
    </row>
    <row r="171" spans="1:31" s="7" customFormat="1" ht="12">
      <c r="A171" s="23">
        <v>170</v>
      </c>
      <c r="B171" s="23" t="str">
        <f>SUBSTITUTE('ZAMÓWIENIE | WYCENA'!C117,"_",'ZAMÓWIENIE | WYCENA'!$F$112,1)</f>
        <v>1062-080-721S-KOBXXX</v>
      </c>
      <c r="C171" s="15">
        <f>'ZAMÓWIENIE | WYCENA'!F117</f>
        <v>0</v>
      </c>
      <c r="D171" s="14">
        <v>1</v>
      </c>
      <c r="E171" s="13"/>
      <c r="F171" s="13"/>
      <c r="G171" s="13"/>
      <c r="H171" s="24">
        <f>IFERROR(IF(COUNTIFS($H$1:H170,H170)&gt;=VLOOKUP(H170,$A$2:$D$309,4,0),IF(H170=MAX($A$2:$A$317),"",Lista!H170+1),H170),"")</f>
        <v>170</v>
      </c>
      <c r="I171" s="22" t="str">
        <f t="shared" si="72"/>
        <v>1062-080-721S-KOBXXX</v>
      </c>
      <c r="J171" s="24">
        <f t="shared" si="73"/>
        <v>0</v>
      </c>
      <c r="K171" s="25">
        <f t="shared" si="66"/>
        <v>0</v>
      </c>
      <c r="L171" s="26">
        <f t="shared" si="67"/>
        <v>0</v>
      </c>
      <c r="M171" s="26">
        <f t="shared" si="61"/>
        <v>0</v>
      </c>
      <c r="N171" s="26" t="str">
        <f t="shared" si="62"/>
        <v>SHO</v>
      </c>
      <c r="O171" s="26" t="str">
        <f t="shared" si="63"/>
        <v>IPT</v>
      </c>
      <c r="P171" s="25" t="str">
        <f t="shared" ca="1" si="64"/>
        <v>ND260415_0</v>
      </c>
      <c r="Q171" s="27" t="str">
        <f t="shared" ca="1" si="68"/>
        <v>2026-04-15</v>
      </c>
      <c r="R171" s="26" t="str">
        <f t="shared" si="69"/>
        <v>PLN</v>
      </c>
      <c r="S171" s="23" t="str">
        <f>IF(H171=1,VLOOKUP(COUNTIF($H$2:H171,H171),Specyfikacja!$A$5:$D$99,2,0),IF(H171=2,VLOOKUP(COUNTIF($H$2:H171,H171),Specyfikacja!$A$5:$K$99,9,0),""))</f>
        <v/>
      </c>
      <c r="T171" s="23" t="str">
        <f>IF(H171=1,VLOOKUP(COUNTIF($H$2:H171,H171),Specyfikacja!$A$5:$D$99,3,0),IF(H171=2,VLOOKUP(COUNTIF($H$2:H171,H171),Specyfikacja!$A$5:$K$99,10,0),""))</f>
        <v/>
      </c>
      <c r="U171" s="23" t="str">
        <f>SUBSTITUTE(SUBSTITUTE(IF(H171=1,VLOOKUP(COUNTIF($H$2:H171,H171),Specyfikacja!$A$5:$D$99,4,0),IF(H171=2,VLOOKUP(COUNTIF($H$2:H171,H171),Specyfikacja!$A$5:$K$99,11,0),"")),"Tak","YES"),"Nie","NO")</f>
        <v/>
      </c>
      <c r="W171" s="646" t="str">
        <f t="shared" ca="1" si="53"/>
        <v>=PODSTAW('ZAMÓWIENIE | WYCENA'!C117;"_";'ZAMÓWIENIE | WYCENA'!$F$112;1)</v>
      </c>
      <c r="X171" s="646">
        <f t="shared" ca="1" si="65"/>
        <v>10</v>
      </c>
      <c r="Y171" s="646">
        <f t="shared" ca="1" si="54"/>
        <v>36</v>
      </c>
      <c r="Z171" s="646" t="str">
        <f t="shared" ca="1" si="55"/>
        <v>'ZAMÓWIENIE | WYCENA'!C117</v>
      </c>
      <c r="AA171" s="647">
        <f t="shared" ca="1" si="58"/>
        <v>180.8</v>
      </c>
      <c r="AB171" s="647">
        <f t="shared" ca="1" si="58"/>
        <v>0</v>
      </c>
      <c r="AC171" s="647">
        <f t="shared" ca="1" si="58"/>
        <v>0</v>
      </c>
      <c r="AD171" s="646" t="str">
        <f t="shared" si="56"/>
        <v>1062-080-721S-KOBXXX</v>
      </c>
      <c r="AE171" s="648">
        <f t="shared" ca="1" si="57"/>
        <v>180.8</v>
      </c>
    </row>
    <row r="172" spans="1:31" s="7" customFormat="1" ht="12">
      <c r="A172" s="23">
        <v>171</v>
      </c>
      <c r="B172" s="23" t="str">
        <f>SUBSTITUTE('ZAMÓWIENIE | WYCENA'!C118,"_",'ZAMÓWIENIE | WYCENA'!$F$112,1)</f>
        <v>1022-080-721S-OBS000</v>
      </c>
      <c r="C172" s="15">
        <f>'ZAMÓWIENIE | WYCENA'!F118</f>
        <v>0</v>
      </c>
      <c r="D172" s="14">
        <v>1</v>
      </c>
      <c r="E172" s="13"/>
      <c r="F172" s="13"/>
      <c r="G172" s="13"/>
      <c r="H172" s="24">
        <f>IFERROR(IF(COUNTIFS($H$1:H171,H171)&gt;=VLOOKUP(H171,$A$2:$D$309,4,0),IF(H171=MAX($A$2:$A$317),"",Lista!H171+1),H171),"")</f>
        <v>171</v>
      </c>
      <c r="I172" s="22" t="str">
        <f t="shared" si="72"/>
        <v>1022-080-721S-OBS000</v>
      </c>
      <c r="J172" s="24">
        <f t="shared" si="73"/>
        <v>0</v>
      </c>
      <c r="K172" s="25">
        <f t="shared" si="66"/>
        <v>0</v>
      </c>
      <c r="L172" s="26">
        <f t="shared" si="67"/>
        <v>0</v>
      </c>
      <c r="M172" s="26">
        <f t="shared" si="61"/>
        <v>0</v>
      </c>
      <c r="N172" s="26" t="str">
        <f t="shared" si="62"/>
        <v>SHO</v>
      </c>
      <c r="O172" s="26" t="str">
        <f t="shared" si="63"/>
        <v>IPT</v>
      </c>
      <c r="P172" s="25" t="str">
        <f t="shared" ca="1" si="64"/>
        <v>ND260415_0</v>
      </c>
      <c r="Q172" s="27" t="str">
        <f t="shared" ca="1" si="68"/>
        <v>2026-04-15</v>
      </c>
      <c r="R172" s="26" t="str">
        <f t="shared" si="69"/>
        <v>PLN</v>
      </c>
      <c r="S172" s="23" t="str">
        <f>IF(H172=1,VLOOKUP(COUNTIF($H$2:H172,H172),Specyfikacja!$A$5:$D$99,2,0),IF(H172=2,VLOOKUP(COUNTIF($H$2:H172,H172),Specyfikacja!$A$5:$K$99,9,0),""))</f>
        <v/>
      </c>
      <c r="T172" s="23" t="str">
        <f>IF(H172=1,VLOOKUP(COUNTIF($H$2:H172,H172),Specyfikacja!$A$5:$D$99,3,0),IF(H172=2,VLOOKUP(COUNTIF($H$2:H172,H172),Specyfikacja!$A$5:$K$99,10,0),""))</f>
        <v/>
      </c>
      <c r="U172" s="23" t="str">
        <f>SUBSTITUTE(SUBSTITUTE(IF(H172=1,VLOOKUP(COUNTIF($H$2:H172,H172),Specyfikacja!$A$5:$D$99,4,0),IF(H172=2,VLOOKUP(COUNTIF($H$2:H172,H172),Specyfikacja!$A$5:$K$99,11,0),"")),"Tak","YES"),"Nie","NO")</f>
        <v/>
      </c>
      <c r="W172" s="646" t="str">
        <f t="shared" ca="1" si="53"/>
        <v>=PODSTAW('ZAMÓWIENIE | WYCENA'!C118;"_";'ZAMÓWIENIE | WYCENA'!$F$112;1)</v>
      </c>
      <c r="X172" s="646">
        <f t="shared" ca="1" si="65"/>
        <v>10</v>
      </c>
      <c r="Y172" s="646">
        <f t="shared" ca="1" si="54"/>
        <v>36</v>
      </c>
      <c r="Z172" s="646" t="str">
        <f t="shared" ca="1" si="55"/>
        <v>'ZAMÓWIENIE | WYCENA'!C118</v>
      </c>
      <c r="AA172" s="647">
        <f t="shared" ca="1" si="58"/>
        <v>13.1</v>
      </c>
      <c r="AB172" s="647">
        <f t="shared" ca="1" si="58"/>
        <v>0</v>
      </c>
      <c r="AC172" s="647">
        <f t="shared" ca="1" si="58"/>
        <v>0</v>
      </c>
      <c r="AD172" s="646" t="str">
        <f t="shared" si="56"/>
        <v>1022-080-721S-OBS000</v>
      </c>
      <c r="AE172" s="648">
        <f t="shared" ca="1" si="57"/>
        <v>13.1</v>
      </c>
    </row>
    <row r="173" spans="1:31" s="7" customFormat="1" ht="12">
      <c r="A173" s="23">
        <v>172</v>
      </c>
      <c r="B173" s="23" t="str">
        <f>SUBSTITUTE('ZAMÓWIENIE | WYCENA'!C113,"_",'ZAMÓWIENIE | WYCENA'!$H$112,1)</f>
        <v>1022-080-905S-RUR400</v>
      </c>
      <c r="C173" s="15">
        <f>'ZAMÓWIENIE | WYCENA'!H113</f>
        <v>0</v>
      </c>
      <c r="D173" s="14">
        <v>1</v>
      </c>
      <c r="E173" s="13"/>
      <c r="F173" s="13"/>
      <c r="G173" s="13"/>
      <c r="H173" s="24">
        <f>IFERROR(IF(COUNTIFS($H$1:H172,H172)&gt;=VLOOKUP(H172,$A$2:$D$309,4,0),IF(H172=MAX($A$2:$A$317),"",Lista!H172+1),H172),"")</f>
        <v>172</v>
      </c>
      <c r="I173" s="22" t="str">
        <f t="shared" si="72"/>
        <v>1022-080-905S-RUR400</v>
      </c>
      <c r="J173" s="24">
        <f t="shared" si="73"/>
        <v>0</v>
      </c>
      <c r="K173" s="25">
        <f t="shared" si="66"/>
        <v>0</v>
      </c>
      <c r="L173" s="26">
        <f t="shared" si="67"/>
        <v>0</v>
      </c>
      <c r="M173" s="26">
        <f t="shared" si="61"/>
        <v>0</v>
      </c>
      <c r="N173" s="26" t="str">
        <f t="shared" si="62"/>
        <v>SHO</v>
      </c>
      <c r="O173" s="26" t="str">
        <f t="shared" si="63"/>
        <v>IPT</v>
      </c>
      <c r="P173" s="25" t="str">
        <f t="shared" ca="1" si="64"/>
        <v>ND260415_0</v>
      </c>
      <c r="Q173" s="27" t="str">
        <f t="shared" ca="1" si="68"/>
        <v>2026-04-15</v>
      </c>
      <c r="R173" s="26" t="str">
        <f t="shared" si="69"/>
        <v>PLN</v>
      </c>
      <c r="S173" s="23" t="str">
        <f>IF(H173=1,VLOOKUP(COUNTIF($H$2:H173,H173),Specyfikacja!$A$5:$D$99,2,0),IF(H173=2,VLOOKUP(COUNTIF($H$2:H173,H173),Specyfikacja!$A$5:$K$99,9,0),""))</f>
        <v/>
      </c>
      <c r="T173" s="23" t="str">
        <f>IF(H173=1,VLOOKUP(COUNTIF($H$2:H173,H173),Specyfikacja!$A$5:$D$99,3,0),IF(H173=2,VLOOKUP(COUNTIF($H$2:H173,H173),Specyfikacja!$A$5:$K$99,10,0),""))</f>
        <v/>
      </c>
      <c r="U173" s="23" t="str">
        <f>SUBSTITUTE(SUBSTITUTE(IF(H173=1,VLOOKUP(COUNTIF($H$2:H173,H173),Specyfikacja!$A$5:$D$99,4,0),IF(H173=2,VLOOKUP(COUNTIF($H$2:H173,H173),Specyfikacja!$A$5:$K$99,11,0),"")),"Tak","YES"),"Nie","NO")</f>
        <v/>
      </c>
      <c r="W173" s="646" t="str">
        <f t="shared" ca="1" si="53"/>
        <v>=PODSTAW('ZAMÓWIENIE | WYCENA'!C113;"_";'ZAMÓWIENIE | WYCENA'!$H$112;1)</v>
      </c>
      <c r="X173" s="646">
        <f t="shared" ca="1" si="65"/>
        <v>10</v>
      </c>
      <c r="Y173" s="646">
        <f t="shared" ca="1" si="54"/>
        <v>36</v>
      </c>
      <c r="Z173" s="646" t="str">
        <f t="shared" ca="1" si="55"/>
        <v>'ZAMÓWIENIE | WYCENA'!C113</v>
      </c>
      <c r="AA173" s="647">
        <f t="shared" ca="1" si="58"/>
        <v>135.80000000000001</v>
      </c>
      <c r="AB173" s="647">
        <f t="shared" ca="1" si="58"/>
        <v>0</v>
      </c>
      <c r="AC173" s="647">
        <f t="shared" ca="1" si="58"/>
        <v>0</v>
      </c>
      <c r="AD173" s="646" t="str">
        <f t="shared" si="56"/>
        <v>1022-080-905S-RUR400</v>
      </c>
      <c r="AE173" s="648">
        <f t="shared" ca="1" si="57"/>
        <v>135.80000000000001</v>
      </c>
    </row>
    <row r="174" spans="1:31" s="7" customFormat="1" ht="12">
      <c r="A174" s="23">
        <v>173</v>
      </c>
      <c r="B174" s="23" t="str">
        <f>SUBSTITUTE('ZAMÓWIENIE | WYCENA'!C114,"_",'ZAMÓWIENIE | WYCENA'!$H$112,1)</f>
        <v>1062-080-905S-MUF000</v>
      </c>
      <c r="C174" s="15">
        <f>'ZAMÓWIENIE | WYCENA'!H114</f>
        <v>0</v>
      </c>
      <c r="D174" s="14">
        <v>1</v>
      </c>
      <c r="E174" s="13"/>
      <c r="F174" s="13"/>
      <c r="G174" s="13"/>
      <c r="H174" s="24">
        <f>IFERROR(IF(COUNTIFS($H$1:H173,H173)&gt;=VLOOKUP(H173,$A$2:$D$309,4,0),IF(H173=MAX($A$2:$A$317),"",Lista!H173+1),H173),"")</f>
        <v>173</v>
      </c>
      <c r="I174" s="22" t="str">
        <f t="shared" si="72"/>
        <v>1062-080-905S-MUF000</v>
      </c>
      <c r="J174" s="24">
        <f t="shared" si="73"/>
        <v>0</v>
      </c>
      <c r="K174" s="25">
        <f t="shared" si="66"/>
        <v>0</v>
      </c>
      <c r="L174" s="26">
        <f t="shared" si="67"/>
        <v>0</v>
      </c>
      <c r="M174" s="26">
        <f t="shared" si="61"/>
        <v>0</v>
      </c>
      <c r="N174" s="26" t="str">
        <f t="shared" si="62"/>
        <v>SHO</v>
      </c>
      <c r="O174" s="26" t="str">
        <f t="shared" si="63"/>
        <v>IPT</v>
      </c>
      <c r="P174" s="25" t="str">
        <f t="shared" ca="1" si="64"/>
        <v>ND260415_0</v>
      </c>
      <c r="Q174" s="27" t="str">
        <f t="shared" ca="1" si="68"/>
        <v>2026-04-15</v>
      </c>
      <c r="R174" s="26" t="str">
        <f t="shared" si="69"/>
        <v>PLN</v>
      </c>
      <c r="S174" s="23" t="str">
        <f>IF(H174=1,VLOOKUP(COUNTIF($H$2:H174,H174),Specyfikacja!$A$5:$D$99,2,0),IF(H174=2,VLOOKUP(COUNTIF($H$2:H174,H174),Specyfikacja!$A$5:$K$99,9,0),""))</f>
        <v/>
      </c>
      <c r="T174" s="23" t="str">
        <f>IF(H174=1,VLOOKUP(COUNTIF($H$2:H174,H174),Specyfikacja!$A$5:$D$99,3,0),IF(H174=2,VLOOKUP(COUNTIF($H$2:H174,H174),Specyfikacja!$A$5:$K$99,10,0),""))</f>
        <v/>
      </c>
      <c r="U174" s="23" t="str">
        <f>SUBSTITUTE(SUBSTITUTE(IF(H174=1,VLOOKUP(COUNTIF($H$2:H174,H174),Specyfikacja!$A$5:$D$99,4,0),IF(H174=2,VLOOKUP(COUNTIF($H$2:H174,H174),Specyfikacja!$A$5:$K$99,11,0),"")),"Tak","YES"),"Nie","NO")</f>
        <v/>
      </c>
      <c r="W174" s="646" t="str">
        <f t="shared" ca="1" si="53"/>
        <v>=PODSTAW('ZAMÓWIENIE | WYCENA'!C114;"_";'ZAMÓWIENIE | WYCENA'!$H$112;1)</v>
      </c>
      <c r="X174" s="646">
        <f t="shared" ca="1" si="65"/>
        <v>10</v>
      </c>
      <c r="Y174" s="646">
        <f t="shared" ca="1" si="54"/>
        <v>36</v>
      </c>
      <c r="Z174" s="646" t="str">
        <f t="shared" ca="1" si="55"/>
        <v>'ZAMÓWIENIE | WYCENA'!C114</v>
      </c>
      <c r="AA174" s="647">
        <f t="shared" ca="1" si="58"/>
        <v>29.1</v>
      </c>
      <c r="AB174" s="647">
        <f t="shared" ca="1" si="58"/>
        <v>0</v>
      </c>
      <c r="AC174" s="647">
        <f t="shared" ca="1" si="58"/>
        <v>0</v>
      </c>
      <c r="AD174" s="646" t="str">
        <f t="shared" si="56"/>
        <v>1062-080-905S-MUF000</v>
      </c>
      <c r="AE174" s="648">
        <f t="shared" ca="1" si="57"/>
        <v>29.1</v>
      </c>
    </row>
    <row r="175" spans="1:31" s="7" customFormat="1" ht="12">
      <c r="A175" s="23">
        <v>174</v>
      </c>
      <c r="B175" s="23" t="str">
        <f>SUBSTITUTE('ZAMÓWIENIE | WYCENA'!C115,"_",'ZAMÓWIENIE | WYCENA'!$H$112,1)</f>
        <v>1022-080-905S-KOL067</v>
      </c>
      <c r="C175" s="15">
        <f>'ZAMÓWIENIE | WYCENA'!H115</f>
        <v>0</v>
      </c>
      <c r="D175" s="14">
        <v>1</v>
      </c>
      <c r="E175" s="13"/>
      <c r="F175" s="13"/>
      <c r="G175" s="13"/>
      <c r="H175" s="24">
        <f>IFERROR(IF(COUNTIFS($H$1:H174,H174)&gt;=VLOOKUP(H174,$A$2:$D$309,4,0),IF(H174=MAX($A$2:$A$317),"",Lista!H174+1),H174),"")</f>
        <v>174</v>
      </c>
      <c r="I175" s="22" t="str">
        <f t="shared" si="72"/>
        <v>1022-080-905S-KOL067</v>
      </c>
      <c r="J175" s="24">
        <f t="shared" si="73"/>
        <v>0</v>
      </c>
      <c r="K175" s="25">
        <f t="shared" si="66"/>
        <v>0</v>
      </c>
      <c r="L175" s="26">
        <f t="shared" si="67"/>
        <v>0</v>
      </c>
      <c r="M175" s="26">
        <f t="shared" si="61"/>
        <v>0</v>
      </c>
      <c r="N175" s="26" t="str">
        <f t="shared" si="62"/>
        <v>SHO</v>
      </c>
      <c r="O175" s="26" t="str">
        <f t="shared" si="63"/>
        <v>IPT</v>
      </c>
      <c r="P175" s="25" t="str">
        <f t="shared" ca="1" si="64"/>
        <v>ND260415_0</v>
      </c>
      <c r="Q175" s="27" t="str">
        <f t="shared" ca="1" si="68"/>
        <v>2026-04-15</v>
      </c>
      <c r="R175" s="26" t="str">
        <f t="shared" si="69"/>
        <v>PLN</v>
      </c>
      <c r="S175" s="23" t="str">
        <f>IF(H175=1,VLOOKUP(COUNTIF($H$2:H175,H175),Specyfikacja!$A$5:$D$99,2,0),IF(H175=2,VLOOKUP(COUNTIF($H$2:H175,H175),Specyfikacja!$A$5:$K$99,9,0),""))</f>
        <v/>
      </c>
      <c r="T175" s="23" t="str">
        <f>IF(H175=1,VLOOKUP(COUNTIF($H$2:H175,H175),Specyfikacja!$A$5:$D$99,3,0),IF(H175=2,VLOOKUP(COUNTIF($H$2:H175,H175),Specyfikacja!$A$5:$K$99,10,0),""))</f>
        <v/>
      </c>
      <c r="U175" s="23" t="str">
        <f>SUBSTITUTE(SUBSTITUTE(IF(H175=1,VLOOKUP(COUNTIF($H$2:H175,H175),Specyfikacja!$A$5:$D$99,4,0),IF(H175=2,VLOOKUP(COUNTIF($H$2:H175,H175),Specyfikacja!$A$5:$K$99,11,0),"")),"Tak","YES"),"Nie","NO")</f>
        <v/>
      </c>
      <c r="W175" s="646" t="str">
        <f t="shared" ca="1" si="53"/>
        <v>=PODSTAW('ZAMÓWIENIE | WYCENA'!C115;"_";'ZAMÓWIENIE | WYCENA'!$H$112;1)</v>
      </c>
      <c r="X175" s="646">
        <f t="shared" ca="1" si="65"/>
        <v>10</v>
      </c>
      <c r="Y175" s="646">
        <f t="shared" ca="1" si="54"/>
        <v>36</v>
      </c>
      <c r="Z175" s="646" t="str">
        <f t="shared" ca="1" si="55"/>
        <v>'ZAMÓWIENIE | WYCENA'!C115</v>
      </c>
      <c r="AA175" s="647">
        <f t="shared" ca="1" si="58"/>
        <v>38.799999999999997</v>
      </c>
      <c r="AB175" s="647">
        <f t="shared" ca="1" si="58"/>
        <v>0</v>
      </c>
      <c r="AC175" s="647">
        <f t="shared" ca="1" si="58"/>
        <v>0</v>
      </c>
      <c r="AD175" s="646" t="str">
        <f t="shared" si="56"/>
        <v>1022-080-905S-KOL067</v>
      </c>
      <c r="AE175" s="648">
        <f t="shared" ca="1" si="57"/>
        <v>38.799999999999997</v>
      </c>
    </row>
    <row r="176" spans="1:31" s="7" customFormat="1" ht="12">
      <c r="A176" s="23">
        <v>175</v>
      </c>
      <c r="B176" s="23" t="str">
        <f>SUBSTITUTE('ZAMÓWIENIE | WYCENA'!C116,"_",'ZAMÓWIENIE | WYCENA'!$H$112,1)</f>
        <v>1062-080-905S-KEL000</v>
      </c>
      <c r="C176" s="15">
        <f>'ZAMÓWIENIE | WYCENA'!H116</f>
        <v>0</v>
      </c>
      <c r="D176" s="14">
        <v>1</v>
      </c>
      <c r="E176" s="13"/>
      <c r="F176" s="13"/>
      <c r="G176" s="13"/>
      <c r="H176" s="24">
        <f>IFERROR(IF(COUNTIFS($H$1:H175,H175)&gt;=VLOOKUP(H175,$A$2:$D$309,4,0),IF(H175=MAX($A$2:$A$317),"",Lista!H175+1),H175),"")</f>
        <v>175</v>
      </c>
      <c r="I176" s="22" t="str">
        <f t="shared" si="72"/>
        <v>1062-080-905S-KEL000</v>
      </c>
      <c r="J176" s="24">
        <f t="shared" si="73"/>
        <v>0</v>
      </c>
      <c r="K176" s="25">
        <f t="shared" si="66"/>
        <v>0</v>
      </c>
      <c r="L176" s="26">
        <f t="shared" si="67"/>
        <v>0</v>
      </c>
      <c r="M176" s="26">
        <f t="shared" si="61"/>
        <v>0</v>
      </c>
      <c r="N176" s="26" t="str">
        <f t="shared" si="62"/>
        <v>SHO</v>
      </c>
      <c r="O176" s="26" t="str">
        <f t="shared" si="63"/>
        <v>IPT</v>
      </c>
      <c r="P176" s="25" t="str">
        <f t="shared" ca="1" si="64"/>
        <v>ND260415_0</v>
      </c>
      <c r="Q176" s="27" t="str">
        <f t="shared" ca="1" si="68"/>
        <v>2026-04-15</v>
      </c>
      <c r="R176" s="26" t="str">
        <f t="shared" si="69"/>
        <v>PLN</v>
      </c>
      <c r="S176" s="23" t="str">
        <f>IF(H176=1,VLOOKUP(COUNTIF($H$2:H176,H176),Specyfikacja!$A$5:$D$99,2,0),IF(H176=2,VLOOKUP(COUNTIF($H$2:H176,H176),Specyfikacja!$A$5:$K$99,9,0),""))</f>
        <v/>
      </c>
      <c r="T176" s="23" t="str">
        <f>IF(H176=1,VLOOKUP(COUNTIF($H$2:H176,H176),Specyfikacja!$A$5:$D$99,3,0),IF(H176=2,VLOOKUP(COUNTIF($H$2:H176,H176),Specyfikacja!$A$5:$K$99,10,0),""))</f>
        <v/>
      </c>
      <c r="U176" s="23" t="str">
        <f>SUBSTITUTE(SUBSTITUTE(IF(H176=1,VLOOKUP(COUNTIF($H$2:H176,H176),Specyfikacja!$A$5:$D$99,4,0),IF(H176=2,VLOOKUP(COUNTIF($H$2:H176,H176),Specyfikacja!$A$5:$K$99,11,0),"")),"Tak","YES"),"Nie","NO")</f>
        <v/>
      </c>
      <c r="W176" s="646" t="str">
        <f t="shared" ca="1" si="53"/>
        <v>=PODSTAW('ZAMÓWIENIE | WYCENA'!C116;"_";'ZAMÓWIENIE | WYCENA'!$H$112;1)</v>
      </c>
      <c r="X176" s="646">
        <f t="shared" ca="1" si="65"/>
        <v>10</v>
      </c>
      <c r="Y176" s="646">
        <f t="shared" ca="1" si="54"/>
        <v>36</v>
      </c>
      <c r="Z176" s="646" t="str">
        <f t="shared" ca="1" si="55"/>
        <v>'ZAMÓWIENIE | WYCENA'!C116</v>
      </c>
      <c r="AA176" s="647">
        <f t="shared" ca="1" si="58"/>
        <v>52.8</v>
      </c>
      <c r="AB176" s="647">
        <f t="shared" ca="1" si="58"/>
        <v>0</v>
      </c>
      <c r="AC176" s="647">
        <f t="shared" ca="1" si="58"/>
        <v>0</v>
      </c>
      <c r="AD176" s="646" t="str">
        <f t="shared" si="56"/>
        <v>1062-080-905S-KEL000</v>
      </c>
      <c r="AE176" s="648">
        <f t="shared" ca="1" si="57"/>
        <v>52.8</v>
      </c>
    </row>
    <row r="177" spans="1:31" s="7" customFormat="1" ht="12">
      <c r="A177" s="23">
        <v>176</v>
      </c>
      <c r="B177" s="23" t="str">
        <f>SUBSTITUTE('ZAMÓWIENIE | WYCENA'!C117,"_",'ZAMÓWIENIE | WYCENA'!$H$112,1)</f>
        <v>1062-080-905S-KOBXXX</v>
      </c>
      <c r="C177" s="15">
        <f>'ZAMÓWIENIE | WYCENA'!H117</f>
        <v>0</v>
      </c>
      <c r="D177" s="14">
        <v>1</v>
      </c>
      <c r="E177" s="13"/>
      <c r="F177" s="13"/>
      <c r="G177" s="13"/>
      <c r="H177" s="24">
        <f>IFERROR(IF(COUNTIFS($H$1:H176,H176)&gt;=VLOOKUP(H176,$A$2:$D$309,4,0),IF(H176=MAX($A$2:$A$317),"",Lista!H176+1),H176),"")</f>
        <v>176</v>
      </c>
      <c r="I177" s="22" t="str">
        <f t="shared" si="72"/>
        <v>1062-080-905S-KOBXXX</v>
      </c>
      <c r="J177" s="24">
        <f t="shared" si="73"/>
        <v>0</v>
      </c>
      <c r="K177" s="25">
        <f t="shared" si="66"/>
        <v>0</v>
      </c>
      <c r="L177" s="26">
        <f t="shared" si="67"/>
        <v>0</v>
      </c>
      <c r="M177" s="26">
        <f t="shared" si="61"/>
        <v>0</v>
      </c>
      <c r="N177" s="26" t="str">
        <f t="shared" si="62"/>
        <v>SHO</v>
      </c>
      <c r="O177" s="26" t="str">
        <f t="shared" si="63"/>
        <v>IPT</v>
      </c>
      <c r="P177" s="25" t="str">
        <f t="shared" ca="1" si="64"/>
        <v>ND260415_0</v>
      </c>
      <c r="Q177" s="27" t="str">
        <f t="shared" ca="1" si="68"/>
        <v>2026-04-15</v>
      </c>
      <c r="R177" s="26" t="str">
        <f t="shared" si="69"/>
        <v>PLN</v>
      </c>
      <c r="S177" s="23" t="str">
        <f>IF(H177=1,VLOOKUP(COUNTIF($H$2:H177,H177),Specyfikacja!$A$5:$D$99,2,0),IF(H177=2,VLOOKUP(COUNTIF($H$2:H177,H177),Specyfikacja!$A$5:$K$99,9,0),""))</f>
        <v/>
      </c>
      <c r="T177" s="23" t="str">
        <f>IF(H177=1,VLOOKUP(COUNTIF($H$2:H177,H177),Specyfikacja!$A$5:$D$99,3,0),IF(H177=2,VLOOKUP(COUNTIF($H$2:H177,H177),Specyfikacja!$A$5:$K$99,10,0),""))</f>
        <v/>
      </c>
      <c r="U177" s="23" t="str">
        <f>SUBSTITUTE(SUBSTITUTE(IF(H177=1,VLOOKUP(COUNTIF($H$2:H177,H177),Specyfikacja!$A$5:$D$99,4,0),IF(H177=2,VLOOKUP(COUNTIF($H$2:H177,H177),Specyfikacja!$A$5:$K$99,11,0),"")),"Tak","YES"),"Nie","NO")</f>
        <v/>
      </c>
      <c r="W177" s="646" t="str">
        <f t="shared" ca="1" si="53"/>
        <v>=PODSTAW('ZAMÓWIENIE | WYCENA'!C117;"_";'ZAMÓWIENIE | WYCENA'!$H$112;1)</v>
      </c>
      <c r="X177" s="646">
        <f t="shared" ca="1" si="65"/>
        <v>10</v>
      </c>
      <c r="Y177" s="646">
        <f t="shared" ca="1" si="54"/>
        <v>36</v>
      </c>
      <c r="Z177" s="646" t="str">
        <f t="shared" ca="1" si="55"/>
        <v>'ZAMÓWIENIE | WYCENA'!C117</v>
      </c>
      <c r="AA177" s="647">
        <f t="shared" ca="1" si="58"/>
        <v>180.8</v>
      </c>
      <c r="AB177" s="647">
        <f t="shared" ca="1" si="58"/>
        <v>0</v>
      </c>
      <c r="AC177" s="647">
        <f t="shared" ca="1" si="58"/>
        <v>0</v>
      </c>
      <c r="AD177" s="646" t="str">
        <f t="shared" si="56"/>
        <v>1062-080-905S-KOBXXX</v>
      </c>
      <c r="AE177" s="648">
        <f t="shared" ca="1" si="57"/>
        <v>180.8</v>
      </c>
    </row>
    <row r="178" spans="1:31" s="7" customFormat="1" ht="12">
      <c r="A178" s="23">
        <v>177</v>
      </c>
      <c r="B178" s="23" t="str">
        <f>SUBSTITUTE('ZAMÓWIENIE | WYCENA'!C118,"_",'ZAMÓWIENIE | WYCENA'!$H$112,1)</f>
        <v>1022-080-905S-OBS000</v>
      </c>
      <c r="C178" s="15">
        <f>'ZAMÓWIENIE | WYCENA'!H118</f>
        <v>0</v>
      </c>
      <c r="D178" s="14">
        <v>1</v>
      </c>
      <c r="E178" s="13"/>
      <c r="F178" s="13"/>
      <c r="G178" s="13"/>
      <c r="H178" s="24">
        <f>IFERROR(IF(COUNTIFS($H$1:H177,H177)&gt;=VLOOKUP(H177,$A$2:$D$309,4,0),IF(H177=MAX($A$2:$A$317),"",Lista!H177+1),H177),"")</f>
        <v>177</v>
      </c>
      <c r="I178" s="22" t="str">
        <f t="shared" si="72"/>
        <v>1022-080-905S-OBS000</v>
      </c>
      <c r="J178" s="24">
        <f t="shared" si="73"/>
        <v>0</v>
      </c>
      <c r="K178" s="25">
        <f t="shared" si="66"/>
        <v>0</v>
      </c>
      <c r="L178" s="26">
        <f t="shared" si="67"/>
        <v>0</v>
      </c>
      <c r="M178" s="26">
        <f t="shared" si="61"/>
        <v>0</v>
      </c>
      <c r="N178" s="26" t="str">
        <f t="shared" si="62"/>
        <v>SHO</v>
      </c>
      <c r="O178" s="26" t="str">
        <f t="shared" si="63"/>
        <v>IPT</v>
      </c>
      <c r="P178" s="25" t="str">
        <f t="shared" ca="1" si="64"/>
        <v>ND260415_0</v>
      </c>
      <c r="Q178" s="27" t="str">
        <f t="shared" ca="1" si="68"/>
        <v>2026-04-15</v>
      </c>
      <c r="R178" s="26" t="str">
        <f t="shared" si="69"/>
        <v>PLN</v>
      </c>
      <c r="S178" s="23" t="str">
        <f>IF(H178=1,VLOOKUP(COUNTIF($H$2:H178,H178),Specyfikacja!$A$5:$D$99,2,0),IF(H178=2,VLOOKUP(COUNTIF($H$2:H178,H178),Specyfikacja!$A$5:$K$99,9,0),""))</f>
        <v/>
      </c>
      <c r="T178" s="23" t="str">
        <f>IF(H178=1,VLOOKUP(COUNTIF($H$2:H178,H178),Specyfikacja!$A$5:$D$99,3,0),IF(H178=2,VLOOKUP(COUNTIF($H$2:H178,H178),Specyfikacja!$A$5:$K$99,10,0),""))</f>
        <v/>
      </c>
      <c r="U178" s="23" t="str">
        <f>SUBSTITUTE(SUBSTITUTE(IF(H178=1,VLOOKUP(COUNTIF($H$2:H178,H178),Specyfikacja!$A$5:$D$99,4,0),IF(H178=2,VLOOKUP(COUNTIF($H$2:H178,H178),Specyfikacja!$A$5:$K$99,11,0),"")),"Tak","YES"),"Nie","NO")</f>
        <v/>
      </c>
      <c r="W178" s="646" t="str">
        <f t="shared" ca="1" si="53"/>
        <v>=PODSTAW('ZAMÓWIENIE | WYCENA'!C118;"_";'ZAMÓWIENIE | WYCENA'!$H$112;1)</v>
      </c>
      <c r="X178" s="646">
        <f t="shared" ca="1" si="65"/>
        <v>10</v>
      </c>
      <c r="Y178" s="646">
        <f t="shared" ca="1" si="54"/>
        <v>36</v>
      </c>
      <c r="Z178" s="646" t="str">
        <f t="shared" ca="1" si="55"/>
        <v>'ZAMÓWIENIE | WYCENA'!C118</v>
      </c>
      <c r="AA178" s="647">
        <f t="shared" ca="1" si="58"/>
        <v>13.1</v>
      </c>
      <c r="AB178" s="647">
        <f t="shared" ca="1" si="58"/>
        <v>0</v>
      </c>
      <c r="AC178" s="647">
        <f t="shared" ca="1" si="58"/>
        <v>0</v>
      </c>
      <c r="AD178" s="646" t="str">
        <f t="shared" si="56"/>
        <v>1022-080-905S-OBS000</v>
      </c>
      <c r="AE178" s="648">
        <f t="shared" ca="1" si="57"/>
        <v>13.1</v>
      </c>
    </row>
    <row r="179" spans="1:31" s="7" customFormat="1" ht="12">
      <c r="A179" s="23">
        <v>178</v>
      </c>
      <c r="B179" s="23" t="str">
        <f>'ZAMÓWIENIE | WYCENA'!C122</f>
        <v>1110-020-000X-USB700</v>
      </c>
      <c r="C179" s="15">
        <f>'ZAMÓWIENIE | WYCENA'!F122</f>
        <v>0</v>
      </c>
      <c r="D179" s="14">
        <v>1</v>
      </c>
      <c r="E179" s="13"/>
      <c r="F179" s="13"/>
      <c r="G179" s="13"/>
      <c r="H179" s="24">
        <f>IFERROR(IF(COUNTIFS($H$1:H178,H178)&gt;=VLOOKUP(H178,$A$2:$D$309,4,0),IF(H178=MAX($A$2:$A$317),"",Lista!H178+1),H178),"")</f>
        <v>178</v>
      </c>
      <c r="I179" s="22" t="str">
        <f t="shared" si="72"/>
        <v>1110-020-000X-USB700</v>
      </c>
      <c r="J179" s="24">
        <f t="shared" si="73"/>
        <v>0</v>
      </c>
      <c r="K179" s="25">
        <f t="shared" si="66"/>
        <v>0</v>
      </c>
      <c r="L179" s="26">
        <f t="shared" si="67"/>
        <v>0</v>
      </c>
      <c r="M179" s="26">
        <f t="shared" si="61"/>
        <v>0</v>
      </c>
      <c r="N179" s="26" t="str">
        <f t="shared" si="62"/>
        <v>SHO</v>
      </c>
      <c r="O179" s="26" t="str">
        <f t="shared" si="63"/>
        <v>IPT</v>
      </c>
      <c r="P179" s="25" t="str">
        <f t="shared" ca="1" si="64"/>
        <v>ND260415_0</v>
      </c>
      <c r="Q179" s="27" t="str">
        <f t="shared" ca="1" si="68"/>
        <v>2026-04-15</v>
      </c>
      <c r="R179" s="26" t="str">
        <f t="shared" si="69"/>
        <v>PLN</v>
      </c>
      <c r="S179" s="23" t="str">
        <f>IF(H179=1,VLOOKUP(COUNTIF($H$2:H179,H179),Specyfikacja!$A$5:$D$99,2,0),IF(H179=2,VLOOKUP(COUNTIF($H$2:H179,H179),Specyfikacja!$A$5:$K$99,9,0),""))</f>
        <v/>
      </c>
      <c r="T179" s="23" t="str">
        <f>IF(H179=1,VLOOKUP(COUNTIF($H$2:H179,H179),Specyfikacja!$A$5:$D$99,3,0),IF(H179=2,VLOOKUP(COUNTIF($H$2:H179,H179),Specyfikacja!$A$5:$K$99,10,0),""))</f>
        <v/>
      </c>
      <c r="U179" s="23" t="str">
        <f>SUBSTITUTE(SUBSTITUTE(IF(H179=1,VLOOKUP(COUNTIF($H$2:H179,H179),Specyfikacja!$A$5:$D$99,4,0),IF(H179=2,VLOOKUP(COUNTIF($H$2:H179,H179),Specyfikacja!$A$5:$K$99,11,0),"")),"Tak","YES"),"Nie","NO")</f>
        <v/>
      </c>
      <c r="W179" s="646" t="str">
        <f t="shared" ca="1" si="53"/>
        <v>='ZAMÓWIENIE | WYCENA'!C122</v>
      </c>
      <c r="X179" s="646"/>
      <c r="Y179" s="646"/>
      <c r="Z179" s="650" t="s">
        <v>795</v>
      </c>
      <c r="AA179" s="647">
        <f t="shared" ca="1" si="58"/>
        <v>41.5</v>
      </c>
      <c r="AB179" s="647">
        <f t="shared" ca="1" si="58"/>
        <v>0</v>
      </c>
      <c r="AC179" s="647">
        <f t="shared" ca="1" si="58"/>
        <v>0</v>
      </c>
      <c r="AD179" s="646" t="str">
        <f t="shared" si="56"/>
        <v>1110-020-000X-USB700</v>
      </c>
      <c r="AE179" s="648">
        <f t="shared" ca="1" si="57"/>
        <v>41.5</v>
      </c>
    </row>
    <row r="180" spans="1:31" s="7" customFormat="1" ht="12">
      <c r="A180" s="23">
        <v>179</v>
      </c>
      <c r="B180" s="23" t="str">
        <f>'ZAMÓWIENIE | WYCENA'!C123</f>
        <v>1110-000-905S-MKU000</v>
      </c>
      <c r="C180" s="15">
        <f>'ZAMÓWIENIE | WYCENA'!F123</f>
        <v>0</v>
      </c>
      <c r="D180" s="14">
        <v>1</v>
      </c>
      <c r="E180" s="13"/>
      <c r="F180" s="13"/>
      <c r="G180" s="13"/>
      <c r="H180" s="24">
        <f>IFERROR(IF(COUNTIFS($H$1:H179,H179)&gt;=VLOOKUP(H179,$A$2:$D$309,4,0),IF(H179=MAX($A$2:$A$317),"",Lista!H179+1),H179),"")</f>
        <v>179</v>
      </c>
      <c r="I180" s="22" t="str">
        <f t="shared" si="72"/>
        <v>1110-000-905S-MKU000</v>
      </c>
      <c r="J180" s="24">
        <f t="shared" si="73"/>
        <v>0</v>
      </c>
      <c r="K180" s="25">
        <f t="shared" si="66"/>
        <v>0</v>
      </c>
      <c r="L180" s="26">
        <f t="shared" si="67"/>
        <v>0</v>
      </c>
      <c r="M180" s="26">
        <f t="shared" si="61"/>
        <v>0</v>
      </c>
      <c r="N180" s="26" t="str">
        <f t="shared" si="62"/>
        <v>SHO</v>
      </c>
      <c r="O180" s="26" t="str">
        <f t="shared" si="63"/>
        <v>IPT</v>
      </c>
      <c r="P180" s="25" t="str">
        <f t="shared" ca="1" si="64"/>
        <v>ND260415_0</v>
      </c>
      <c r="Q180" s="27" t="str">
        <f t="shared" ca="1" si="68"/>
        <v>2026-04-15</v>
      </c>
      <c r="R180" s="26" t="str">
        <f t="shared" si="69"/>
        <v>PLN</v>
      </c>
      <c r="S180" s="23" t="str">
        <f>IF(H180=1,VLOOKUP(COUNTIF($H$2:H180,H180),Specyfikacja!$A$5:$D$99,2,0),IF(H180=2,VLOOKUP(COUNTIF($H$2:H180,H180),Specyfikacja!$A$5:$K$99,9,0),""))</f>
        <v/>
      </c>
      <c r="T180" s="23" t="str">
        <f>IF(H180=1,VLOOKUP(COUNTIF($H$2:H180,H180),Specyfikacja!$A$5:$D$99,3,0),IF(H180=2,VLOOKUP(COUNTIF($H$2:H180,H180),Specyfikacja!$A$5:$K$99,10,0),""))</f>
        <v/>
      </c>
      <c r="U180" s="23" t="str">
        <f>SUBSTITUTE(SUBSTITUTE(IF(H180=1,VLOOKUP(COUNTIF($H$2:H180,H180),Specyfikacja!$A$5:$D$99,4,0),IF(H180=2,VLOOKUP(COUNTIF($H$2:H180,H180),Specyfikacja!$A$5:$K$99,11,0),"")),"Tak","YES"),"Nie","NO")</f>
        <v/>
      </c>
      <c r="W180" s="646" t="str">
        <f t="shared" ref="W180:W230" ca="1" si="74">_xlfn.FORMULATEXT(B180)</f>
        <v>='ZAMÓWIENIE | WYCENA'!C123</v>
      </c>
      <c r="X180" s="646"/>
      <c r="Y180" s="646"/>
      <c r="Z180" s="650" t="s">
        <v>796</v>
      </c>
      <c r="AA180" s="647">
        <f t="shared" ca="1" si="58"/>
        <v>58</v>
      </c>
      <c r="AB180" s="647">
        <f t="shared" ca="1" si="58"/>
        <v>0</v>
      </c>
      <c r="AC180" s="647">
        <f t="shared" ca="1" si="58"/>
        <v>0</v>
      </c>
      <c r="AD180" s="646" t="str">
        <f t="shared" ref="AD180:AD230" si="75">B180</f>
        <v>1110-000-905S-MKU000</v>
      </c>
      <c r="AE180" s="648">
        <f t="shared" ref="AE180:AE230" ca="1" si="76">MAX(AA180:AC180)</f>
        <v>58</v>
      </c>
    </row>
    <row r="181" spans="1:31" s="7" customFormat="1" ht="12">
      <c r="A181" s="23">
        <v>180</v>
      </c>
      <c r="B181" s="23" t="str">
        <f>'ZAMÓWIENIE | WYCENA'!C124</f>
        <v>1062-080-000X-RUT120</v>
      </c>
      <c r="C181" s="15">
        <f>'ZAMÓWIENIE | WYCENA'!F124</f>
        <v>0</v>
      </c>
      <c r="D181" s="14">
        <v>1</v>
      </c>
      <c r="E181" s="13"/>
      <c r="F181" s="13"/>
      <c r="G181" s="13"/>
      <c r="H181" s="24">
        <f>IFERROR(IF(COUNTIFS($H$1:H180,H180)&gt;=VLOOKUP(H180,$A$2:$D$309,4,0),IF(H180=MAX($A$2:$A$317),"",Lista!H180+1),H180),"")</f>
        <v>180</v>
      </c>
      <c r="I181" s="22" t="str">
        <f t="shared" si="72"/>
        <v>1062-080-000X-RUT120</v>
      </c>
      <c r="J181" s="24">
        <f t="shared" si="73"/>
        <v>0</v>
      </c>
      <c r="K181" s="25">
        <f t="shared" si="66"/>
        <v>0</v>
      </c>
      <c r="L181" s="26">
        <f t="shared" si="67"/>
        <v>0</v>
      </c>
      <c r="M181" s="26">
        <f t="shared" si="61"/>
        <v>0</v>
      </c>
      <c r="N181" s="26" t="str">
        <f t="shared" si="62"/>
        <v>SHO</v>
      </c>
      <c r="O181" s="26" t="str">
        <f t="shared" si="63"/>
        <v>IPT</v>
      </c>
      <c r="P181" s="25" t="str">
        <f t="shared" ca="1" si="64"/>
        <v>ND260415_0</v>
      </c>
      <c r="Q181" s="27" t="str">
        <f t="shared" ca="1" si="68"/>
        <v>2026-04-15</v>
      </c>
      <c r="R181" s="26" t="str">
        <f t="shared" si="69"/>
        <v>PLN</v>
      </c>
      <c r="S181" s="23" t="str">
        <f>IF(H181=1,VLOOKUP(COUNTIF($H$2:H181,H181),Specyfikacja!$A$5:$D$99,2,0),IF(H181=2,VLOOKUP(COUNTIF($H$2:H181,H181),Specyfikacja!$A$5:$K$99,9,0),""))</f>
        <v/>
      </c>
      <c r="T181" s="23" t="str">
        <f>IF(H181=1,VLOOKUP(COUNTIF($H$2:H181,H181),Specyfikacja!$A$5:$D$99,3,0),IF(H181=2,VLOOKUP(COUNTIF($H$2:H181,H181),Specyfikacja!$A$5:$K$99,10,0),""))</f>
        <v/>
      </c>
      <c r="U181" s="23" t="str">
        <f>SUBSTITUTE(SUBSTITUTE(IF(H181=1,VLOOKUP(COUNTIF($H$2:H181,H181),Specyfikacja!$A$5:$D$99,4,0),IF(H181=2,VLOOKUP(COUNTIF($H$2:H181,H181),Specyfikacja!$A$5:$K$99,11,0),"")),"Tak","YES"),"Nie","NO")</f>
        <v/>
      </c>
      <c r="W181" s="646" t="str">
        <f t="shared" ca="1" si="74"/>
        <v>='ZAMÓWIENIE | WYCENA'!C124</v>
      </c>
      <c r="X181" s="646"/>
      <c r="Y181" s="646"/>
      <c r="Z181" s="650" t="s">
        <v>797</v>
      </c>
      <c r="AA181" s="647">
        <f t="shared" ref="AA181:AC230" ca="1" si="77">INDIRECT(SUBSTITUTE($Z181,"'!C","'!"&amp;AA$3))</f>
        <v>84</v>
      </c>
      <c r="AB181" s="647">
        <f t="shared" ca="1" si="77"/>
        <v>0</v>
      </c>
      <c r="AC181" s="647">
        <f t="shared" ca="1" si="77"/>
        <v>0</v>
      </c>
      <c r="AD181" s="646" t="str">
        <f t="shared" si="75"/>
        <v>1062-080-000X-RUT120</v>
      </c>
      <c r="AE181" s="648">
        <f t="shared" ca="1" si="76"/>
        <v>84</v>
      </c>
    </row>
    <row r="182" spans="1:31" s="7" customFormat="1" ht="12">
      <c r="A182" s="23">
        <v>181</v>
      </c>
      <c r="B182" s="23" t="str">
        <f>'ZAMÓWIENIE | WYCENA'!C125</f>
        <v>1003-300-905S-SSU300</v>
      </c>
      <c r="C182" s="15">
        <f>'ZAMÓWIENIE | WYCENA'!F125</f>
        <v>0</v>
      </c>
      <c r="D182" s="14">
        <v>1</v>
      </c>
      <c r="E182" s="13"/>
      <c r="F182" s="13"/>
      <c r="G182" s="13"/>
      <c r="H182" s="24">
        <f>IFERROR(IF(COUNTIFS($H$1:H181,H181)&gt;=VLOOKUP(H181,$A$2:$D$309,4,0),IF(H181=MAX($A$2:$A$317),"",Lista!H181+1),H181),"")</f>
        <v>181</v>
      </c>
      <c r="I182" s="22" t="str">
        <f t="shared" si="72"/>
        <v>1003-300-905S-SSU300</v>
      </c>
      <c r="J182" s="24">
        <f t="shared" si="73"/>
        <v>0</v>
      </c>
      <c r="K182" s="25">
        <f t="shared" si="66"/>
        <v>0</v>
      </c>
      <c r="L182" s="26">
        <f t="shared" si="67"/>
        <v>0</v>
      </c>
      <c r="M182" s="26">
        <f t="shared" si="61"/>
        <v>0</v>
      </c>
      <c r="N182" s="26" t="str">
        <f t="shared" si="62"/>
        <v>SHO</v>
      </c>
      <c r="O182" s="26" t="str">
        <f t="shared" si="63"/>
        <v>IPT</v>
      </c>
      <c r="P182" s="25" t="str">
        <f t="shared" ca="1" si="64"/>
        <v>ND260415_0</v>
      </c>
      <c r="Q182" s="27" t="str">
        <f t="shared" ca="1" si="68"/>
        <v>2026-04-15</v>
      </c>
      <c r="R182" s="26" t="str">
        <f t="shared" si="69"/>
        <v>PLN</v>
      </c>
      <c r="S182" s="23" t="str">
        <f>IF(H182=1,VLOOKUP(COUNTIF($H$2:H182,H182),Specyfikacja!$A$5:$D$99,2,0),IF(H182=2,VLOOKUP(COUNTIF($H$2:H182,H182),Specyfikacja!$A$5:$K$99,9,0),""))</f>
        <v/>
      </c>
      <c r="T182" s="23" t="str">
        <f>IF(H182=1,VLOOKUP(COUNTIF($H$2:H182,H182),Specyfikacja!$A$5:$D$99,3,0),IF(H182=2,VLOOKUP(COUNTIF($H$2:H182,H182),Specyfikacja!$A$5:$K$99,10,0),""))</f>
        <v/>
      </c>
      <c r="U182" s="23" t="str">
        <f>SUBSTITUTE(SUBSTITUTE(IF(H182=1,VLOOKUP(COUNTIF($H$2:H182,H182),Specyfikacja!$A$5:$D$99,4,0),IF(H182=2,VLOOKUP(COUNTIF($H$2:H182,H182),Specyfikacja!$A$5:$K$99,11,0),"")),"Tak","YES"),"Nie","NO")</f>
        <v/>
      </c>
      <c r="W182" s="646" t="str">
        <f t="shared" ca="1" si="74"/>
        <v>='ZAMÓWIENIE | WYCENA'!C125</v>
      </c>
      <c r="X182" s="646"/>
      <c r="Y182" s="646"/>
      <c r="Z182" s="650" t="s">
        <v>798</v>
      </c>
      <c r="AA182" s="647">
        <f t="shared" ca="1" si="77"/>
        <v>174.6</v>
      </c>
      <c r="AB182" s="647">
        <f t="shared" ca="1" si="77"/>
        <v>0</v>
      </c>
      <c r="AC182" s="647">
        <f t="shared" ca="1" si="77"/>
        <v>0</v>
      </c>
      <c r="AD182" s="646" t="str">
        <f t="shared" si="75"/>
        <v>1003-300-905S-SSU300</v>
      </c>
      <c r="AE182" s="648">
        <f t="shared" ca="1" si="76"/>
        <v>174.6</v>
      </c>
    </row>
    <row r="183" spans="1:31" s="7" customFormat="1" ht="12">
      <c r="A183" s="23">
        <v>182</v>
      </c>
      <c r="B183" s="23" t="str">
        <f>'ZAMÓWIENIE | WYCENA'!C126</f>
        <v>1003-300-905S-SSN300</v>
      </c>
      <c r="C183" s="15">
        <f>'ZAMÓWIENIE | WYCENA'!F126</f>
        <v>0</v>
      </c>
      <c r="D183" s="14">
        <v>1</v>
      </c>
      <c r="E183" s="13"/>
      <c r="F183" s="13"/>
      <c r="G183" s="13"/>
      <c r="H183" s="24">
        <f>IFERROR(IF(COUNTIFS($H$1:H182,H182)&gt;=VLOOKUP(H182,$A$2:$D$309,4,0),IF(H182=MAX($A$2:$A$317),"",Lista!H182+1),H182),"")</f>
        <v>182</v>
      </c>
      <c r="I183" s="22" t="str">
        <f t="shared" si="72"/>
        <v>1003-300-905S-SSN300</v>
      </c>
      <c r="J183" s="24">
        <f t="shared" si="73"/>
        <v>0</v>
      </c>
      <c r="K183" s="25">
        <f t="shared" si="66"/>
        <v>0</v>
      </c>
      <c r="L183" s="26">
        <f t="shared" si="67"/>
        <v>0</v>
      </c>
      <c r="M183" s="26">
        <f t="shared" si="61"/>
        <v>0</v>
      </c>
      <c r="N183" s="26" t="str">
        <f t="shared" si="62"/>
        <v>SHO</v>
      </c>
      <c r="O183" s="26" t="str">
        <f t="shared" si="63"/>
        <v>IPT</v>
      </c>
      <c r="P183" s="25" t="str">
        <f t="shared" ca="1" si="64"/>
        <v>ND260415_0</v>
      </c>
      <c r="Q183" s="27" t="str">
        <f t="shared" ca="1" si="68"/>
        <v>2026-04-15</v>
      </c>
      <c r="R183" s="26" t="str">
        <f t="shared" si="69"/>
        <v>PLN</v>
      </c>
      <c r="S183" s="23" t="str">
        <f>IF(H183=1,VLOOKUP(COUNTIF($H$2:H183,H183),Specyfikacja!$A$5:$D$99,2,0),IF(H183=2,VLOOKUP(COUNTIF($H$2:H183,H183),Specyfikacja!$A$5:$K$99,9,0),""))</f>
        <v/>
      </c>
      <c r="T183" s="23" t="str">
        <f>IF(H183=1,VLOOKUP(COUNTIF($H$2:H183,H183),Specyfikacja!$A$5:$D$99,3,0),IF(H183=2,VLOOKUP(COUNTIF($H$2:H183,H183),Specyfikacja!$A$5:$K$99,10,0),""))</f>
        <v/>
      </c>
      <c r="U183" s="23" t="str">
        <f>SUBSTITUTE(SUBSTITUTE(IF(H183=1,VLOOKUP(COUNTIF($H$2:H183,H183),Specyfikacja!$A$5:$D$99,4,0),IF(H183=2,VLOOKUP(COUNTIF($H$2:H183,H183),Specyfikacja!$A$5:$K$99,11,0),"")),"Tak","YES"),"Nie","NO")</f>
        <v/>
      </c>
      <c r="W183" s="646" t="str">
        <f t="shared" ca="1" si="74"/>
        <v>='ZAMÓWIENIE | WYCENA'!C126</v>
      </c>
      <c r="X183" s="646"/>
      <c r="Y183" s="646"/>
      <c r="Z183" s="650" t="s">
        <v>799</v>
      </c>
      <c r="AA183" s="647">
        <f t="shared" ca="1" si="77"/>
        <v>66.2</v>
      </c>
      <c r="AB183" s="647">
        <f t="shared" ca="1" si="77"/>
        <v>0</v>
      </c>
      <c r="AC183" s="647">
        <f t="shared" ca="1" si="77"/>
        <v>0</v>
      </c>
      <c r="AD183" s="646" t="str">
        <f t="shared" si="75"/>
        <v>1003-300-905S-SSN300</v>
      </c>
      <c r="AE183" s="648">
        <f t="shared" ca="1" si="76"/>
        <v>66.2</v>
      </c>
    </row>
    <row r="184" spans="1:31" s="7" customFormat="1" ht="12">
      <c r="A184" s="23">
        <v>183</v>
      </c>
      <c r="B184" s="23" t="str">
        <f>'ZAMÓWIENIE | WYCENA'!C127</f>
        <v>1003-110-738S-KOK088</v>
      </c>
      <c r="C184" s="15">
        <f>'ZAMÓWIENIE | WYCENA'!F127</f>
        <v>0</v>
      </c>
      <c r="D184" s="14">
        <v>1</v>
      </c>
      <c r="E184" s="13"/>
      <c r="F184" s="13"/>
      <c r="G184" s="13"/>
      <c r="H184" s="24">
        <f>IFERROR(IF(COUNTIFS($H$1:H183,H183)&gt;=VLOOKUP(H183,$A$2:$D$309,4,0),IF(H183=MAX($A$2:$A$317),"",Lista!H183+1),H183),"")</f>
        <v>183</v>
      </c>
      <c r="I184" s="22" t="str">
        <f t="shared" si="72"/>
        <v>1003-110-738S-KOK088</v>
      </c>
      <c r="J184" s="24">
        <f t="shared" si="73"/>
        <v>0</v>
      </c>
      <c r="K184" s="25">
        <f t="shared" si="66"/>
        <v>0</v>
      </c>
      <c r="L184" s="26">
        <f t="shared" si="67"/>
        <v>0</v>
      </c>
      <c r="M184" s="26">
        <f t="shared" si="61"/>
        <v>0</v>
      </c>
      <c r="N184" s="26" t="str">
        <f t="shared" si="62"/>
        <v>SHO</v>
      </c>
      <c r="O184" s="26" t="str">
        <f t="shared" si="63"/>
        <v>IPT</v>
      </c>
      <c r="P184" s="25" t="str">
        <f t="shared" ca="1" si="64"/>
        <v>ND260415_0</v>
      </c>
      <c r="Q184" s="27" t="str">
        <f t="shared" ca="1" si="68"/>
        <v>2026-04-15</v>
      </c>
      <c r="R184" s="26" t="str">
        <f t="shared" si="69"/>
        <v>PLN</v>
      </c>
      <c r="S184" s="23" t="str">
        <f>IF(H184=1,VLOOKUP(COUNTIF($H$2:H184,H184),Specyfikacja!$A$5:$D$99,2,0),IF(H184=2,VLOOKUP(COUNTIF($H$2:H184,H184),Specyfikacja!$A$5:$K$99,9,0),""))</f>
        <v/>
      </c>
      <c r="T184" s="23" t="str">
        <f>IF(H184=1,VLOOKUP(COUNTIF($H$2:H184,H184),Specyfikacja!$A$5:$D$99,3,0),IF(H184=2,VLOOKUP(COUNTIF($H$2:H184,H184),Specyfikacja!$A$5:$K$99,10,0),""))</f>
        <v/>
      </c>
      <c r="U184" s="23" t="str">
        <f>SUBSTITUTE(SUBSTITUTE(IF(H184=1,VLOOKUP(COUNTIF($H$2:H184,H184),Specyfikacja!$A$5:$D$99,4,0),IF(H184=2,VLOOKUP(COUNTIF($H$2:H184,H184),Specyfikacja!$A$5:$K$99,11,0),"")),"Tak","YES"),"Nie","NO")</f>
        <v/>
      </c>
      <c r="W184" s="646" t="str">
        <f t="shared" ca="1" si="74"/>
        <v>='ZAMÓWIENIE | WYCENA'!C127</v>
      </c>
      <c r="X184" s="646"/>
      <c r="Y184" s="646"/>
      <c r="Z184" s="650" t="s">
        <v>800</v>
      </c>
      <c r="AA184" s="647">
        <f t="shared" ca="1" si="77"/>
        <v>17.399999999999999</v>
      </c>
      <c r="AB184" s="647">
        <f t="shared" ca="1" si="77"/>
        <v>0</v>
      </c>
      <c r="AC184" s="647">
        <f t="shared" ca="1" si="77"/>
        <v>0</v>
      </c>
      <c r="AD184" s="646" t="str">
        <f t="shared" si="75"/>
        <v>1003-110-738S-KOK088</v>
      </c>
      <c r="AE184" s="648">
        <f t="shared" ca="1" si="76"/>
        <v>17.399999999999999</v>
      </c>
    </row>
    <row r="185" spans="1:31" s="7" customFormat="1" ht="12">
      <c r="A185" s="23">
        <v>184</v>
      </c>
      <c r="B185" s="23" t="str">
        <f>'ZAMÓWIENIE | WYCENA'!C128</f>
        <v>1000-110-923S-OBS000</v>
      </c>
      <c r="C185" s="15">
        <f>'ZAMÓWIENIE | WYCENA'!F128</f>
        <v>0</v>
      </c>
      <c r="D185" s="14">
        <v>1</v>
      </c>
      <c r="E185" s="13"/>
      <c r="F185" s="13"/>
      <c r="G185" s="13"/>
      <c r="H185" s="24">
        <f>IFERROR(IF(COUNTIFS($H$1:H184,H184)&gt;=VLOOKUP(H184,$A$2:$D$309,4,0),IF(H184=MAX($A$2:$A$317),"",Lista!H184+1),H184),"")</f>
        <v>184</v>
      </c>
      <c r="I185" s="22" t="str">
        <f t="shared" si="72"/>
        <v>1000-110-923S-OBS000</v>
      </c>
      <c r="J185" s="24">
        <f t="shared" si="73"/>
        <v>0</v>
      </c>
      <c r="K185" s="25">
        <f t="shared" si="66"/>
        <v>0</v>
      </c>
      <c r="L185" s="26">
        <f t="shared" si="67"/>
        <v>0</v>
      </c>
      <c r="M185" s="26">
        <f t="shared" si="61"/>
        <v>0</v>
      </c>
      <c r="N185" s="26" t="str">
        <f t="shared" si="62"/>
        <v>SHO</v>
      </c>
      <c r="O185" s="26" t="str">
        <f t="shared" si="63"/>
        <v>IPT</v>
      </c>
      <c r="P185" s="25" t="str">
        <f t="shared" ca="1" si="64"/>
        <v>ND260415_0</v>
      </c>
      <c r="Q185" s="27" t="str">
        <f t="shared" ca="1" si="68"/>
        <v>2026-04-15</v>
      </c>
      <c r="R185" s="26" t="str">
        <f t="shared" si="69"/>
        <v>PLN</v>
      </c>
      <c r="S185" s="23" t="str">
        <f>IF(H185=1,VLOOKUP(COUNTIF($H$2:H185,H185),Specyfikacja!$A$5:$D$99,2,0),IF(H185=2,VLOOKUP(COUNTIF($H$2:H185,H185),Specyfikacja!$A$5:$K$99,9,0),""))</f>
        <v/>
      </c>
      <c r="T185" s="23" t="str">
        <f>IF(H185=1,VLOOKUP(COUNTIF($H$2:H185,H185),Specyfikacja!$A$5:$D$99,3,0),IF(H185=2,VLOOKUP(COUNTIF($H$2:H185,H185),Specyfikacja!$A$5:$K$99,10,0),""))</f>
        <v/>
      </c>
      <c r="U185" s="23" t="str">
        <f>SUBSTITUTE(SUBSTITUTE(IF(H185=1,VLOOKUP(COUNTIF($H$2:H185,H185),Specyfikacja!$A$5:$D$99,4,0),IF(H185=2,VLOOKUP(COUNTIF($H$2:H185,H185),Specyfikacja!$A$5:$K$99,11,0),"")),"Tak","YES"),"Nie","NO")</f>
        <v/>
      </c>
      <c r="W185" s="646" t="str">
        <f t="shared" ca="1" si="74"/>
        <v>='ZAMÓWIENIE | WYCENA'!C128</v>
      </c>
      <c r="X185" s="646"/>
      <c r="Y185" s="646"/>
      <c r="Z185" s="650" t="s">
        <v>801</v>
      </c>
      <c r="AA185" s="647">
        <f t="shared" ca="1" si="77"/>
        <v>14.1</v>
      </c>
      <c r="AB185" s="647">
        <f t="shared" ca="1" si="77"/>
        <v>0</v>
      </c>
      <c r="AC185" s="647">
        <f t="shared" ca="1" si="77"/>
        <v>0</v>
      </c>
      <c r="AD185" s="646" t="str">
        <f t="shared" si="75"/>
        <v>1000-110-923S-OBS000</v>
      </c>
      <c r="AE185" s="648">
        <f t="shared" ca="1" si="76"/>
        <v>14.1</v>
      </c>
    </row>
    <row r="186" spans="1:31" s="7" customFormat="1" ht="12">
      <c r="A186" s="23">
        <v>185</v>
      </c>
      <c r="B186" s="23" t="str">
        <f>'ZAMÓWIENIE | WYCENA'!C129</f>
        <v>1003-110-738S-RUK100</v>
      </c>
      <c r="C186" s="15">
        <f>'ZAMÓWIENIE | WYCENA'!F129</f>
        <v>0</v>
      </c>
      <c r="D186" s="14">
        <v>1</v>
      </c>
      <c r="E186" s="13"/>
      <c r="F186" s="13"/>
      <c r="G186" s="13"/>
      <c r="H186" s="24">
        <f>IFERROR(IF(COUNTIFS($H$1:H185,H185)&gt;=VLOOKUP(H185,$A$2:$D$309,4,0),IF(H185=MAX($A$2:$A$317),"",Lista!H185+1),H185),"")</f>
        <v>185</v>
      </c>
      <c r="I186" s="22" t="str">
        <f t="shared" si="72"/>
        <v>1003-110-738S-RUK100</v>
      </c>
      <c r="J186" s="24">
        <f t="shared" si="73"/>
        <v>0</v>
      </c>
      <c r="K186" s="25">
        <f t="shared" si="66"/>
        <v>0</v>
      </c>
      <c r="L186" s="26">
        <f t="shared" si="67"/>
        <v>0</v>
      </c>
      <c r="M186" s="26">
        <f t="shared" si="61"/>
        <v>0</v>
      </c>
      <c r="N186" s="26" t="str">
        <f t="shared" si="62"/>
        <v>SHO</v>
      </c>
      <c r="O186" s="26" t="str">
        <f t="shared" si="63"/>
        <v>IPT</v>
      </c>
      <c r="P186" s="25" t="str">
        <f t="shared" ca="1" si="64"/>
        <v>ND260415_0</v>
      </c>
      <c r="Q186" s="27" t="str">
        <f t="shared" ca="1" si="68"/>
        <v>2026-04-15</v>
      </c>
      <c r="R186" s="26" t="str">
        <f t="shared" si="69"/>
        <v>PLN</v>
      </c>
      <c r="S186" s="23" t="str">
        <f>IF(H186=1,VLOOKUP(COUNTIF($H$2:H186,H186),Specyfikacja!$A$5:$D$99,2,0),IF(H186=2,VLOOKUP(COUNTIF($H$2:H186,H186),Specyfikacja!$A$5:$K$99,9,0),""))</f>
        <v/>
      </c>
      <c r="T186" s="23" t="str">
        <f>IF(H186=1,VLOOKUP(COUNTIF($H$2:H186,H186),Specyfikacja!$A$5:$D$99,3,0),IF(H186=2,VLOOKUP(COUNTIF($H$2:H186,H186),Specyfikacja!$A$5:$K$99,10,0),""))</f>
        <v/>
      </c>
      <c r="U186" s="23" t="str">
        <f>SUBSTITUTE(SUBSTITUTE(IF(H186=1,VLOOKUP(COUNTIF($H$2:H186,H186),Specyfikacja!$A$5:$D$99,4,0),IF(H186=2,VLOOKUP(COUNTIF($H$2:H186,H186),Specyfikacja!$A$5:$K$99,11,0),"")),"Tak","YES"),"Nie","NO")</f>
        <v/>
      </c>
      <c r="W186" s="646" t="str">
        <f t="shared" ca="1" si="74"/>
        <v>='ZAMÓWIENIE | WYCENA'!C129</v>
      </c>
      <c r="X186" s="646"/>
      <c r="Y186" s="646"/>
      <c r="Z186" s="650" t="s">
        <v>802</v>
      </c>
      <c r="AA186" s="647">
        <f t="shared" ca="1" si="77"/>
        <v>33.9</v>
      </c>
      <c r="AB186" s="647">
        <f t="shared" ca="1" si="77"/>
        <v>0</v>
      </c>
      <c r="AC186" s="647">
        <f t="shared" ca="1" si="77"/>
        <v>0</v>
      </c>
      <c r="AD186" s="646" t="str">
        <f t="shared" si="75"/>
        <v>1003-110-738S-RUK100</v>
      </c>
      <c r="AE186" s="648">
        <f t="shared" ca="1" si="76"/>
        <v>33.9</v>
      </c>
    </row>
    <row r="187" spans="1:31" s="7" customFormat="1" ht="12">
      <c r="A187" s="23">
        <v>186</v>
      </c>
      <c r="B187" s="23" t="str">
        <f>'ZAMÓWIENIE | WYCENA'!C130</f>
        <v>1003-080-738S-RED110</v>
      </c>
      <c r="C187" s="15">
        <f>'ZAMÓWIENIE | WYCENA'!F130</f>
        <v>0</v>
      </c>
      <c r="D187" s="14">
        <v>1</v>
      </c>
      <c r="E187" s="13"/>
      <c r="F187" s="13"/>
      <c r="G187" s="13"/>
      <c r="H187" s="24">
        <f>IFERROR(IF(COUNTIFS($H$1:H186,H186)&gt;=VLOOKUP(H186,$A$2:$D$309,4,0),IF(H186=MAX($A$2:$A$317),"",Lista!H186+1),H186),"")</f>
        <v>186</v>
      </c>
      <c r="I187" s="22" t="str">
        <f t="shared" si="72"/>
        <v>1003-080-738S-RED110</v>
      </c>
      <c r="J187" s="24">
        <f t="shared" si="73"/>
        <v>0</v>
      </c>
      <c r="K187" s="25">
        <f t="shared" si="66"/>
        <v>0</v>
      </c>
      <c r="L187" s="26">
        <f t="shared" si="67"/>
        <v>0</v>
      </c>
      <c r="M187" s="26">
        <f t="shared" si="61"/>
        <v>0</v>
      </c>
      <c r="N187" s="26" t="str">
        <f t="shared" si="62"/>
        <v>SHO</v>
      </c>
      <c r="O187" s="26" t="str">
        <f t="shared" si="63"/>
        <v>IPT</v>
      </c>
      <c r="P187" s="25" t="str">
        <f t="shared" ca="1" si="64"/>
        <v>ND260415_0</v>
      </c>
      <c r="Q187" s="27" t="str">
        <f t="shared" ca="1" si="68"/>
        <v>2026-04-15</v>
      </c>
      <c r="R187" s="26" t="str">
        <f t="shared" si="69"/>
        <v>PLN</v>
      </c>
      <c r="S187" s="23" t="str">
        <f>IF(H187=1,VLOOKUP(COUNTIF($H$2:H187,H187),Specyfikacja!$A$5:$D$99,2,0),IF(H187=2,VLOOKUP(COUNTIF($H$2:H187,H187),Specyfikacja!$A$5:$K$99,9,0),""))</f>
        <v/>
      </c>
      <c r="T187" s="23" t="str">
        <f>IF(H187=1,VLOOKUP(COUNTIF($H$2:H187,H187),Specyfikacja!$A$5:$D$99,3,0),IF(H187=2,VLOOKUP(COUNTIF($H$2:H187,H187),Specyfikacja!$A$5:$K$99,10,0),""))</f>
        <v/>
      </c>
      <c r="U187" s="23" t="str">
        <f>SUBSTITUTE(SUBSTITUTE(IF(H187=1,VLOOKUP(COUNTIF($H$2:H187,H187),Specyfikacja!$A$5:$D$99,4,0),IF(H187=2,VLOOKUP(COUNTIF($H$2:H187,H187),Specyfikacja!$A$5:$K$99,11,0),"")),"Tak","YES"),"Nie","NO")</f>
        <v/>
      </c>
      <c r="W187" s="646" t="str">
        <f t="shared" ca="1" si="74"/>
        <v>='ZAMÓWIENIE | WYCENA'!C130</v>
      </c>
      <c r="X187" s="646"/>
      <c r="Y187" s="646"/>
      <c r="Z187" s="650" t="s">
        <v>803</v>
      </c>
      <c r="AA187" s="647">
        <f t="shared" ca="1" si="77"/>
        <v>10.1</v>
      </c>
      <c r="AB187" s="647">
        <f t="shared" ca="1" si="77"/>
        <v>0</v>
      </c>
      <c r="AC187" s="647">
        <f t="shared" ca="1" si="77"/>
        <v>0</v>
      </c>
      <c r="AD187" s="646" t="str">
        <f t="shared" si="75"/>
        <v>1003-080-738S-RED110</v>
      </c>
      <c r="AE187" s="648">
        <f t="shared" ca="1" si="76"/>
        <v>10.1</v>
      </c>
    </row>
    <row r="188" spans="1:31" s="7" customFormat="1" ht="12">
      <c r="A188" s="23">
        <v>187</v>
      </c>
      <c r="B188" s="23" t="str">
        <f>'ZAMÓWIENIE | WYCENA'!C131</f>
        <v>1000-000-000X-KDW100</v>
      </c>
      <c r="C188" s="15">
        <f>'ZAMÓWIENIE | WYCENA'!F131</f>
        <v>0</v>
      </c>
      <c r="D188" s="14">
        <v>1</v>
      </c>
      <c r="E188" s="13"/>
      <c r="F188" s="13"/>
      <c r="G188" s="13"/>
      <c r="H188" s="24">
        <f>IFERROR(IF(COUNTIFS($H$1:H187,H187)&gt;=VLOOKUP(H187,$A$2:$D$309,4,0),IF(H187=MAX($A$2:$A$317),"",Lista!H187+1),H187),"")</f>
        <v>187</v>
      </c>
      <c r="I188" s="22" t="str">
        <f t="shared" si="72"/>
        <v>1000-000-000X-KDW100</v>
      </c>
      <c r="J188" s="24">
        <f t="shared" si="73"/>
        <v>0</v>
      </c>
      <c r="K188" s="25">
        <f t="shared" si="66"/>
        <v>0</v>
      </c>
      <c r="L188" s="26">
        <f t="shared" si="67"/>
        <v>0</v>
      </c>
      <c r="M188" s="26">
        <f t="shared" si="61"/>
        <v>0</v>
      </c>
      <c r="N188" s="26" t="str">
        <f t="shared" si="62"/>
        <v>SHO</v>
      </c>
      <c r="O188" s="26" t="str">
        <f t="shared" si="63"/>
        <v>IPT</v>
      </c>
      <c r="P188" s="25" t="str">
        <f t="shared" ca="1" si="64"/>
        <v>ND260415_0</v>
      </c>
      <c r="Q188" s="27" t="str">
        <f t="shared" ca="1" si="68"/>
        <v>2026-04-15</v>
      </c>
      <c r="R188" s="26" t="str">
        <f t="shared" si="69"/>
        <v>PLN</v>
      </c>
      <c r="S188" s="23" t="str">
        <f>IF(H188=1,VLOOKUP(COUNTIF($H$2:H188,H188),Specyfikacja!$A$5:$D$99,2,0),IF(H188=2,VLOOKUP(COUNTIF($H$2:H188,H188),Specyfikacja!$A$5:$K$99,9,0),""))</f>
        <v/>
      </c>
      <c r="T188" s="23" t="str">
        <f>IF(H188=1,VLOOKUP(COUNTIF($H$2:H188,H188),Specyfikacja!$A$5:$D$99,3,0),IF(H188=2,VLOOKUP(COUNTIF($H$2:H188,H188),Specyfikacja!$A$5:$K$99,10,0),""))</f>
        <v/>
      </c>
      <c r="U188" s="23" t="str">
        <f>SUBSTITUTE(SUBSTITUTE(IF(H188=1,VLOOKUP(COUNTIF($H$2:H188,H188),Specyfikacja!$A$5:$D$99,4,0),IF(H188=2,VLOOKUP(COUNTIF($H$2:H188,H188),Specyfikacja!$A$5:$K$99,11,0),"")),"Tak","YES"),"Nie","NO")</f>
        <v/>
      </c>
      <c r="W188" s="646" t="str">
        <f t="shared" ca="1" si="74"/>
        <v>='ZAMÓWIENIE | WYCENA'!C131</v>
      </c>
      <c r="X188" s="646"/>
      <c r="Y188" s="646"/>
      <c r="Z188" s="650" t="s">
        <v>804</v>
      </c>
      <c r="AA188" s="647">
        <f t="shared" ca="1" si="77"/>
        <v>4.2</v>
      </c>
      <c r="AB188" s="647">
        <f t="shared" ca="1" si="77"/>
        <v>0</v>
      </c>
      <c r="AC188" s="647">
        <f t="shared" ca="1" si="77"/>
        <v>0</v>
      </c>
      <c r="AD188" s="646" t="str">
        <f t="shared" si="75"/>
        <v>1000-000-000X-KDW100</v>
      </c>
      <c r="AE188" s="648">
        <f t="shared" ca="1" si="76"/>
        <v>4.2</v>
      </c>
    </row>
    <row r="189" spans="1:31" s="7" customFormat="1" ht="12">
      <c r="A189" s="23">
        <v>188</v>
      </c>
      <c r="B189" s="23" t="str">
        <f>'ZAMÓWIENIE | WYCENA'!C132</f>
        <v>1000-000-000X-KDW160</v>
      </c>
      <c r="C189" s="15">
        <f>'ZAMÓWIENIE | WYCENA'!F132</f>
        <v>0</v>
      </c>
      <c r="D189" s="14">
        <v>1</v>
      </c>
      <c r="E189" s="13"/>
      <c r="F189" s="13"/>
      <c r="G189" s="13"/>
      <c r="H189" s="24">
        <f>IFERROR(IF(COUNTIFS($H$1:H188,H188)&gt;=VLOOKUP(H188,$A$2:$D$309,4,0),IF(H188=MAX($A$2:$A$317),"",Lista!H188+1),H188),"")</f>
        <v>188</v>
      </c>
      <c r="I189" s="22" t="str">
        <f t="shared" si="72"/>
        <v>1000-000-000X-KDW160</v>
      </c>
      <c r="J189" s="24">
        <f t="shared" si="73"/>
        <v>0</v>
      </c>
      <c r="K189" s="25">
        <f t="shared" si="66"/>
        <v>0</v>
      </c>
      <c r="L189" s="26">
        <f t="shared" si="67"/>
        <v>0</v>
      </c>
      <c r="M189" s="26">
        <f t="shared" si="61"/>
        <v>0</v>
      </c>
      <c r="N189" s="26" t="str">
        <f t="shared" si="62"/>
        <v>SHO</v>
      </c>
      <c r="O189" s="26" t="str">
        <f t="shared" si="63"/>
        <v>IPT</v>
      </c>
      <c r="P189" s="25" t="str">
        <f t="shared" ca="1" si="64"/>
        <v>ND260415_0</v>
      </c>
      <c r="Q189" s="27" t="str">
        <f t="shared" ca="1" si="68"/>
        <v>2026-04-15</v>
      </c>
      <c r="R189" s="26" t="str">
        <f t="shared" si="69"/>
        <v>PLN</v>
      </c>
      <c r="S189" s="23" t="str">
        <f>IF(H189=1,VLOOKUP(COUNTIF($H$2:H189,H189),Specyfikacja!$A$5:$D$99,2,0),IF(H189=2,VLOOKUP(COUNTIF($H$2:H189,H189),Specyfikacja!$A$5:$K$99,9,0),""))</f>
        <v/>
      </c>
      <c r="T189" s="23" t="str">
        <f>IF(H189=1,VLOOKUP(COUNTIF($H$2:H189,H189),Specyfikacja!$A$5:$D$99,3,0),IF(H189=2,VLOOKUP(COUNTIF($H$2:H189,H189),Specyfikacja!$A$5:$K$99,10,0),""))</f>
        <v/>
      </c>
      <c r="U189" s="23" t="str">
        <f>SUBSTITUTE(SUBSTITUTE(IF(H189=1,VLOOKUP(COUNTIF($H$2:H189,H189),Specyfikacja!$A$5:$D$99,4,0),IF(H189=2,VLOOKUP(COUNTIF($H$2:H189,H189),Specyfikacja!$A$5:$K$99,11,0),"")),"Tak","YES"),"Nie","NO")</f>
        <v/>
      </c>
      <c r="W189" s="646" t="str">
        <f t="shared" ca="1" si="74"/>
        <v>='ZAMÓWIENIE | WYCENA'!C132</v>
      </c>
      <c r="X189" s="646"/>
      <c r="Y189" s="646"/>
      <c r="Z189" s="650" t="s">
        <v>805</v>
      </c>
      <c r="AA189" s="647">
        <f t="shared" ca="1" si="77"/>
        <v>5.0999999999999996</v>
      </c>
      <c r="AB189" s="647">
        <f t="shared" ca="1" si="77"/>
        <v>0</v>
      </c>
      <c r="AC189" s="647">
        <f t="shared" ca="1" si="77"/>
        <v>0</v>
      </c>
      <c r="AD189" s="646" t="str">
        <f t="shared" si="75"/>
        <v>1000-000-000X-KDW160</v>
      </c>
      <c r="AE189" s="648">
        <f t="shared" ca="1" si="76"/>
        <v>5.0999999999999996</v>
      </c>
    </row>
    <row r="190" spans="1:31" s="7" customFormat="1" ht="12">
      <c r="A190" s="23">
        <v>189</v>
      </c>
      <c r="B190" s="23" t="str">
        <f>'ZAMÓWIENIE | WYCENA'!C133</f>
        <v>1000-000-000X-KDW200</v>
      </c>
      <c r="C190" s="15">
        <f>'ZAMÓWIENIE | WYCENA'!F133</f>
        <v>0</v>
      </c>
      <c r="D190" s="14">
        <v>1</v>
      </c>
      <c r="E190" s="13"/>
      <c r="F190" s="13"/>
      <c r="G190" s="13"/>
      <c r="H190" s="24">
        <f>IFERROR(IF(COUNTIFS($H$1:H189,H189)&gt;=VLOOKUP(H189,$A$2:$D$309,4,0),IF(H189=MAX($A$2:$A$317),"",Lista!H189+1),H189),"")</f>
        <v>189</v>
      </c>
      <c r="I190" s="22" t="str">
        <f t="shared" si="72"/>
        <v>1000-000-000X-KDW200</v>
      </c>
      <c r="J190" s="24">
        <f t="shared" si="73"/>
        <v>0</v>
      </c>
      <c r="K190" s="25">
        <f t="shared" si="66"/>
        <v>0</v>
      </c>
      <c r="L190" s="26">
        <f t="shared" si="67"/>
        <v>0</v>
      </c>
      <c r="M190" s="26">
        <f t="shared" si="61"/>
        <v>0</v>
      </c>
      <c r="N190" s="26" t="str">
        <f t="shared" si="62"/>
        <v>SHO</v>
      </c>
      <c r="O190" s="26" t="str">
        <f t="shared" si="63"/>
        <v>IPT</v>
      </c>
      <c r="P190" s="25" t="str">
        <f t="shared" ca="1" si="64"/>
        <v>ND260415_0</v>
      </c>
      <c r="Q190" s="27" t="str">
        <f t="shared" ca="1" si="68"/>
        <v>2026-04-15</v>
      </c>
      <c r="R190" s="26" t="str">
        <f t="shared" si="69"/>
        <v>PLN</v>
      </c>
      <c r="S190" s="23" t="str">
        <f>IF(H190=1,VLOOKUP(COUNTIF($H$2:H190,H190),Specyfikacja!$A$5:$D$99,2,0),IF(H190=2,VLOOKUP(COUNTIF($H$2:H190,H190),Specyfikacja!$A$5:$K$99,9,0),""))</f>
        <v/>
      </c>
      <c r="T190" s="23" t="str">
        <f>IF(H190=1,VLOOKUP(COUNTIF($H$2:H190,H190),Specyfikacja!$A$5:$D$99,3,0),IF(H190=2,VLOOKUP(COUNTIF($H$2:H190,H190),Specyfikacja!$A$5:$K$99,10,0),""))</f>
        <v/>
      </c>
      <c r="U190" s="23" t="str">
        <f>SUBSTITUTE(SUBSTITUTE(IF(H190=1,VLOOKUP(COUNTIF($H$2:H190,H190),Specyfikacja!$A$5:$D$99,4,0),IF(H190=2,VLOOKUP(COUNTIF($H$2:H190,H190),Specyfikacja!$A$5:$K$99,11,0),"")),"Tak","YES"),"Nie","NO")</f>
        <v/>
      </c>
      <c r="W190" s="646" t="str">
        <f t="shared" ca="1" si="74"/>
        <v>='ZAMÓWIENIE | WYCENA'!C133</v>
      </c>
      <c r="X190" s="646"/>
      <c r="Y190" s="646"/>
      <c r="Z190" s="650" t="s">
        <v>806</v>
      </c>
      <c r="AA190" s="647">
        <f t="shared" ca="1" si="77"/>
        <v>5.5</v>
      </c>
      <c r="AB190" s="647">
        <f t="shared" ca="1" si="77"/>
        <v>0</v>
      </c>
      <c r="AC190" s="647">
        <f t="shared" ca="1" si="77"/>
        <v>0</v>
      </c>
      <c r="AD190" s="646" t="str">
        <f t="shared" si="75"/>
        <v>1000-000-000X-KDW200</v>
      </c>
      <c r="AE190" s="648">
        <f t="shared" ca="1" si="76"/>
        <v>5.5</v>
      </c>
    </row>
    <row r="191" spans="1:31" s="7" customFormat="1" ht="12">
      <c r="A191" s="23">
        <v>190</v>
      </c>
      <c r="B191" s="23" t="str">
        <f>'ZAMÓWIENIE | WYCENA'!C134</f>
        <v>1000-000-000X-KDW260</v>
      </c>
      <c r="C191" s="15">
        <f>'ZAMÓWIENIE | WYCENA'!F134</f>
        <v>0</v>
      </c>
      <c r="D191" s="14">
        <v>1</v>
      </c>
      <c r="E191" s="13"/>
      <c r="F191" s="13"/>
      <c r="G191" s="13"/>
      <c r="H191" s="24">
        <f>IFERROR(IF(COUNTIFS($H$1:H190,H190)&gt;=VLOOKUP(H190,$A$2:$D$309,4,0),IF(H190=MAX($A$2:$A$317),"",Lista!H190+1),H190),"")</f>
        <v>190</v>
      </c>
      <c r="I191" s="22" t="str">
        <f t="shared" si="72"/>
        <v>1000-000-000X-KDW260</v>
      </c>
      <c r="J191" s="24">
        <f t="shared" si="73"/>
        <v>0</v>
      </c>
      <c r="K191" s="25">
        <f t="shared" si="66"/>
        <v>0</v>
      </c>
      <c r="L191" s="26">
        <f t="shared" si="67"/>
        <v>0</v>
      </c>
      <c r="M191" s="26">
        <f t="shared" si="61"/>
        <v>0</v>
      </c>
      <c r="N191" s="26" t="str">
        <f t="shared" si="62"/>
        <v>SHO</v>
      </c>
      <c r="O191" s="26" t="str">
        <f t="shared" si="63"/>
        <v>IPT</v>
      </c>
      <c r="P191" s="25" t="str">
        <f t="shared" ca="1" si="64"/>
        <v>ND260415_0</v>
      </c>
      <c r="Q191" s="27" t="str">
        <f t="shared" ca="1" si="68"/>
        <v>2026-04-15</v>
      </c>
      <c r="R191" s="26" t="str">
        <f t="shared" si="69"/>
        <v>PLN</v>
      </c>
      <c r="S191" s="23" t="str">
        <f>IF(H191=1,VLOOKUP(COUNTIF($H$2:H191,H191),Specyfikacja!$A$5:$D$99,2,0),IF(H191=2,VLOOKUP(COUNTIF($H$2:H191,H191),Specyfikacja!$A$5:$K$99,9,0),""))</f>
        <v/>
      </c>
      <c r="T191" s="23" t="str">
        <f>IF(H191=1,VLOOKUP(COUNTIF($H$2:H191,H191),Specyfikacja!$A$5:$D$99,3,0),IF(H191=2,VLOOKUP(COUNTIF($H$2:H191,H191),Specyfikacja!$A$5:$K$99,10,0),""))</f>
        <v/>
      </c>
      <c r="U191" s="23" t="str">
        <f>SUBSTITUTE(SUBSTITUTE(IF(H191=1,VLOOKUP(COUNTIF($H$2:H191,H191),Specyfikacja!$A$5:$D$99,4,0),IF(H191=2,VLOOKUP(COUNTIF($H$2:H191,H191),Specyfikacja!$A$5:$K$99,11,0),"")),"Tak","YES"),"Nie","NO")</f>
        <v/>
      </c>
      <c r="W191" s="646" t="str">
        <f t="shared" ca="1" si="74"/>
        <v>='ZAMÓWIENIE | WYCENA'!C134</v>
      </c>
      <c r="X191" s="646"/>
      <c r="Y191" s="646"/>
      <c r="Z191" s="650" t="s">
        <v>807</v>
      </c>
      <c r="AA191" s="647">
        <f t="shared" ca="1" si="77"/>
        <v>7.9</v>
      </c>
      <c r="AB191" s="647">
        <f t="shared" ca="1" si="77"/>
        <v>0</v>
      </c>
      <c r="AC191" s="647">
        <f t="shared" ca="1" si="77"/>
        <v>0</v>
      </c>
      <c r="AD191" s="646" t="str">
        <f t="shared" si="75"/>
        <v>1000-000-000X-KDW260</v>
      </c>
      <c r="AE191" s="648">
        <f t="shared" ca="1" si="76"/>
        <v>7.9</v>
      </c>
    </row>
    <row r="192" spans="1:31" s="7" customFormat="1" ht="12">
      <c r="A192" s="23">
        <v>191</v>
      </c>
      <c r="B192" s="23" t="str">
        <f>'ZAMÓWIENIE | WYCENA'!C135</f>
        <v>1000-000-000X-KDW300</v>
      </c>
      <c r="C192" s="15">
        <f>'ZAMÓWIENIE | WYCENA'!F135</f>
        <v>0</v>
      </c>
      <c r="D192" s="14">
        <v>1</v>
      </c>
      <c r="E192" s="13"/>
      <c r="F192" s="13"/>
      <c r="G192" s="13"/>
      <c r="H192" s="24">
        <f>IFERROR(IF(COUNTIFS($H$1:H191,H191)&gt;=VLOOKUP(H191,$A$2:$D$309,4,0),IF(H191=MAX($A$2:$A$317),"",Lista!H191+1),H191),"")</f>
        <v>191</v>
      </c>
      <c r="I192" s="22" t="str">
        <f t="shared" si="72"/>
        <v>1000-000-000X-KDW300</v>
      </c>
      <c r="J192" s="24">
        <f t="shared" si="73"/>
        <v>0</v>
      </c>
      <c r="K192" s="25">
        <f t="shared" si="66"/>
        <v>0</v>
      </c>
      <c r="L192" s="26">
        <f t="shared" si="67"/>
        <v>0</v>
      </c>
      <c r="M192" s="26">
        <f t="shared" si="61"/>
        <v>0</v>
      </c>
      <c r="N192" s="26" t="str">
        <f t="shared" si="62"/>
        <v>SHO</v>
      </c>
      <c r="O192" s="26" t="str">
        <f t="shared" si="63"/>
        <v>IPT</v>
      </c>
      <c r="P192" s="25" t="str">
        <f t="shared" ca="1" si="64"/>
        <v>ND260415_0</v>
      </c>
      <c r="Q192" s="27" t="str">
        <f t="shared" ca="1" si="68"/>
        <v>2026-04-15</v>
      </c>
      <c r="R192" s="26" t="str">
        <f t="shared" si="69"/>
        <v>PLN</v>
      </c>
      <c r="S192" s="23" t="str">
        <f>IF(H192=1,VLOOKUP(COUNTIF($H$2:H192,H192),Specyfikacja!$A$5:$D$99,2,0),IF(H192=2,VLOOKUP(COUNTIF($H$2:H192,H192),Specyfikacja!$A$5:$K$99,9,0),""))</f>
        <v/>
      </c>
      <c r="T192" s="23" t="str">
        <f>IF(H192=1,VLOOKUP(COUNTIF($H$2:H192,H192),Specyfikacja!$A$5:$D$99,3,0),IF(H192=2,VLOOKUP(COUNTIF($H$2:H192,H192),Specyfikacja!$A$5:$K$99,10,0),""))</f>
        <v/>
      </c>
      <c r="U192" s="23" t="str">
        <f>SUBSTITUTE(SUBSTITUTE(IF(H192=1,VLOOKUP(COUNTIF($H$2:H192,H192),Specyfikacja!$A$5:$D$99,4,0),IF(H192=2,VLOOKUP(COUNTIF($H$2:H192,H192),Specyfikacja!$A$5:$K$99,11,0),"")),"Tak","YES"),"Nie","NO")</f>
        <v/>
      </c>
      <c r="W192" s="646" t="str">
        <f t="shared" ca="1" si="74"/>
        <v>='ZAMÓWIENIE | WYCENA'!C135</v>
      </c>
      <c r="X192" s="646"/>
      <c r="Y192" s="646"/>
      <c r="Z192" s="650" t="s">
        <v>808</v>
      </c>
      <c r="AA192" s="647">
        <f t="shared" ca="1" si="77"/>
        <v>10.1</v>
      </c>
      <c r="AB192" s="647">
        <f t="shared" ca="1" si="77"/>
        <v>0</v>
      </c>
      <c r="AC192" s="647">
        <f t="shared" ca="1" si="77"/>
        <v>0</v>
      </c>
      <c r="AD192" s="646" t="str">
        <f t="shared" si="75"/>
        <v>1000-000-000X-KDW300</v>
      </c>
      <c r="AE192" s="648">
        <f t="shared" ca="1" si="76"/>
        <v>10.1</v>
      </c>
    </row>
    <row r="193" spans="1:31" s="7" customFormat="1" ht="12">
      <c r="A193" s="23">
        <v>192</v>
      </c>
      <c r="B193" s="23" t="str">
        <f>'ZAMÓWIENIE | WYCENA'!C136</f>
        <v>1000-000-000X-KDW360</v>
      </c>
      <c r="C193" s="15">
        <f>'ZAMÓWIENIE | WYCENA'!F136</f>
        <v>0</v>
      </c>
      <c r="D193" s="14"/>
      <c r="E193" s="13"/>
      <c r="F193" s="13"/>
      <c r="G193" s="13"/>
      <c r="H193" s="24">
        <f>IFERROR(IF(COUNTIFS($H$1:H192,H192)&gt;=VLOOKUP(H192,$A$2:$D$309,4,0),IF(H192=MAX($A$2:$A$317),"",Lista!H192+1),H192),"")</f>
        <v>192</v>
      </c>
      <c r="I193" s="22" t="str">
        <f t="shared" si="72"/>
        <v>1000-000-000X-KDW360</v>
      </c>
      <c r="J193" s="24">
        <f t="shared" si="73"/>
        <v>0</v>
      </c>
      <c r="K193" s="25">
        <f>IF(H193=H192,"",IF(H193="","",$F$2))</f>
        <v>0</v>
      </c>
      <c r="L193" s="26">
        <f>IF(H193=H192,"",IF(H193="","",$F$3))</f>
        <v>0</v>
      </c>
      <c r="M193" s="26">
        <f>IF(H193=H192,"",IF(H193="","",$F$4))</f>
        <v>0</v>
      </c>
      <c r="N193" s="26" t="str">
        <f>IF(H193=H192,"",IF(H193="","",$F$5))</f>
        <v>SHO</v>
      </c>
      <c r="O193" s="26" t="str">
        <f>IF(H193=H192,"",IF(H193="","",$F$6))</f>
        <v>IPT</v>
      </c>
      <c r="P193" s="25" t="str">
        <f ca="1">IF(H193=H192,"",IF(H193="","",$F$7))</f>
        <v>ND260415_0</v>
      </c>
      <c r="Q193" s="27" t="str">
        <f ca="1">IF(H193=H192,"",IF(H193="","",$F$8))</f>
        <v>2026-04-15</v>
      </c>
      <c r="R193" s="26" t="str">
        <f>IF(H193=H192,"",IF(H193="","",$F$9))</f>
        <v>PLN</v>
      </c>
      <c r="S193" s="23" t="str">
        <f>IF(H193=1,VLOOKUP(COUNTIF($H$2:H193,H193),Specyfikacja!$A$5:$D$99,2,0),IF(H193=2,VLOOKUP(COUNTIF($H$2:H193,H193),Specyfikacja!$A$5:$K$99,9,0),""))</f>
        <v/>
      </c>
      <c r="T193" s="23" t="str">
        <f>IF(H193=1,VLOOKUP(COUNTIF($H$2:H193,H193),Specyfikacja!$A$5:$D$99,3,0),IF(H193=2,VLOOKUP(COUNTIF($H$2:H193,H193),Specyfikacja!$A$5:$K$99,10,0),""))</f>
        <v/>
      </c>
      <c r="U193" s="23" t="str">
        <f>SUBSTITUTE(SUBSTITUTE(IF(H193=1,VLOOKUP(COUNTIF($H$2:H193,H193),Specyfikacja!$A$5:$D$99,4,0),IF(H193=2,VLOOKUP(COUNTIF($H$2:H193,H193),Specyfikacja!$A$5:$K$99,11,0),"")),"Tak","YES"),"Nie","NO")</f>
        <v/>
      </c>
      <c r="W193" s="646" t="str">
        <f t="shared" ca="1" si="74"/>
        <v>='ZAMÓWIENIE | WYCENA'!C136</v>
      </c>
      <c r="X193" s="646"/>
      <c r="Y193" s="646"/>
      <c r="Z193" s="650" t="s">
        <v>809</v>
      </c>
      <c r="AA193" s="647">
        <f t="shared" ca="1" si="77"/>
        <v>12</v>
      </c>
      <c r="AB193" s="647">
        <f t="shared" ca="1" si="77"/>
        <v>0</v>
      </c>
      <c r="AC193" s="647">
        <f t="shared" ca="1" si="77"/>
        <v>0</v>
      </c>
      <c r="AD193" s="646" t="str">
        <f t="shared" si="75"/>
        <v>1000-000-000X-KDW360</v>
      </c>
      <c r="AE193" s="648">
        <f t="shared" ca="1" si="76"/>
        <v>12</v>
      </c>
    </row>
    <row r="194" spans="1:31" s="7" customFormat="1" ht="12">
      <c r="A194" s="23">
        <v>193</v>
      </c>
      <c r="B194" s="23" t="str">
        <f>'ZAMÓWIENIE | WYCENA'!C137</f>
        <v>1000-000-905S-OKO000</v>
      </c>
      <c r="C194" s="15">
        <f>'ZAMÓWIENIE | WYCENA'!F137</f>
        <v>0</v>
      </c>
      <c r="D194" s="14">
        <v>1</v>
      </c>
      <c r="E194" s="13"/>
      <c r="F194" s="13"/>
      <c r="G194" s="13"/>
      <c r="H194" s="24">
        <f>IFERROR(IF(COUNTIFS($H$1:H193,H193)&gt;=VLOOKUP(H193,$A$2:$D$309,4,0),IF(H193=MAX($A$2:$A$317),"",Lista!H193+1),H193),"")</f>
        <v>193</v>
      </c>
      <c r="I194" s="22" t="str">
        <f>IFERROR(IF(H194=H192,"",VLOOKUP(H194,$A$2:$B$317,2,0)),"")</f>
        <v>1000-000-905S-OKO000</v>
      </c>
      <c r="J194" s="24">
        <f>IFERROR(IF(H194=H192,"",VLOOKUP(H194,$A$2:$C$317,3,0)),"")</f>
        <v>0</v>
      </c>
      <c r="K194" s="25">
        <f>IF(H194=H192,"",IF(H194="","",$F$2))</f>
        <v>0</v>
      </c>
      <c r="L194" s="26">
        <f>IF(H194=H192,"",IF(H194="","",$F$3))</f>
        <v>0</v>
      </c>
      <c r="M194" s="26">
        <f>IF(H194=H192,"",IF(H194="","",$F$4))</f>
        <v>0</v>
      </c>
      <c r="N194" s="26" t="str">
        <f>IF(H194=H192,"",IF(H194="","",$F$5))</f>
        <v>SHO</v>
      </c>
      <c r="O194" s="26" t="str">
        <f>IF(H194=H192,"",IF(H194="","",$F$6))</f>
        <v>IPT</v>
      </c>
      <c r="P194" s="25" t="str">
        <f ca="1">IF(H194=H192,"",IF(H194="","",$F$7))</f>
        <v>ND260415_0</v>
      </c>
      <c r="Q194" s="27" t="str">
        <f ca="1">IF(H194=H192,"",IF(H194="","",$F$8))</f>
        <v>2026-04-15</v>
      </c>
      <c r="R194" s="26" t="str">
        <f>IF(H194=H192,"",IF(H194="","",$F$9))</f>
        <v>PLN</v>
      </c>
      <c r="S194" s="23" t="str">
        <f>IF(H194=1,VLOOKUP(COUNTIF($H$2:H194,H194),Specyfikacja!$A$5:$D$99,2,0),IF(H194=2,VLOOKUP(COUNTIF($H$2:H194,H194),Specyfikacja!$A$5:$K$99,9,0),""))</f>
        <v/>
      </c>
      <c r="T194" s="23" t="str">
        <f>IF(H194=1,VLOOKUP(COUNTIF($H$2:H194,H194),Specyfikacja!$A$5:$D$99,3,0),IF(H194=2,VLOOKUP(COUNTIF($H$2:H194,H194),Specyfikacja!$A$5:$K$99,10,0),""))</f>
        <v/>
      </c>
      <c r="U194" s="23" t="str">
        <f>SUBSTITUTE(SUBSTITUTE(IF(H194=1,VLOOKUP(COUNTIF($H$2:H194,H194),Specyfikacja!$A$5:$D$99,4,0),IF(H194=2,VLOOKUP(COUNTIF($H$2:H194,H194),Specyfikacja!$A$5:$K$99,11,0),"")),"Tak","YES"),"Nie","NO")</f>
        <v/>
      </c>
      <c r="W194" s="646" t="str">
        <f t="shared" ca="1" si="74"/>
        <v>='ZAMÓWIENIE | WYCENA'!C137</v>
      </c>
      <c r="X194" s="646"/>
      <c r="Y194" s="646"/>
      <c r="Z194" s="650" t="s">
        <v>810</v>
      </c>
      <c r="AA194" s="647">
        <f t="shared" ca="1" si="77"/>
        <v>15.6</v>
      </c>
      <c r="AB194" s="647">
        <f t="shared" ca="1" si="77"/>
        <v>0</v>
      </c>
      <c r="AC194" s="647">
        <f t="shared" ca="1" si="77"/>
        <v>0</v>
      </c>
      <c r="AD194" s="646" t="str">
        <f t="shared" si="75"/>
        <v>1000-000-905S-OKO000</v>
      </c>
      <c r="AE194" s="648">
        <f t="shared" ca="1" si="76"/>
        <v>15.6</v>
      </c>
    </row>
    <row r="195" spans="1:31" s="7" customFormat="1" ht="12">
      <c r="A195" s="23">
        <v>194</v>
      </c>
      <c r="B195" s="23" t="str">
        <f>'ZAMÓWIENIE | WYCENA'!C138</f>
        <v>1000-000-000X-KJP125</v>
      </c>
      <c r="C195" s="15">
        <f>'ZAMÓWIENIE | WYCENA'!F138</f>
        <v>0</v>
      </c>
      <c r="D195" s="14">
        <v>1</v>
      </c>
      <c r="E195" s="13"/>
      <c r="F195" s="13"/>
      <c r="G195" s="13"/>
      <c r="H195" s="24">
        <f>IFERROR(IF(COUNTIFS($H$1:H194,H194)&gt;=VLOOKUP(H194,$A$2:$D$309,4,0),IF(H194=MAX($A$2:$A$317),"",Lista!H194+1),H194),"")</f>
        <v>194</v>
      </c>
      <c r="I195" s="22" t="str">
        <f t="shared" ref="I195:I258" si="78">IFERROR(IF(H195=H194,"",VLOOKUP(H195,$A$2:$B$317,2,0)),"")</f>
        <v>1000-000-000X-KJP125</v>
      </c>
      <c r="J195" s="24">
        <f t="shared" ref="J195:J258" si="79">IFERROR(IF(H195=H194,"",VLOOKUP(H195,$A$2:$C$317,3,0)),"")</f>
        <v>0</v>
      </c>
      <c r="K195" s="25">
        <f t="shared" si="66"/>
        <v>0</v>
      </c>
      <c r="L195" s="26">
        <f t="shared" si="67"/>
        <v>0</v>
      </c>
      <c r="M195" s="26">
        <f t="shared" si="61"/>
        <v>0</v>
      </c>
      <c r="N195" s="26" t="str">
        <f t="shared" si="62"/>
        <v>SHO</v>
      </c>
      <c r="O195" s="26" t="str">
        <f t="shared" si="63"/>
        <v>IPT</v>
      </c>
      <c r="P195" s="25" t="str">
        <f t="shared" ca="1" si="64"/>
        <v>ND260415_0</v>
      </c>
      <c r="Q195" s="27" t="str">
        <f t="shared" ca="1" si="68"/>
        <v>2026-04-15</v>
      </c>
      <c r="R195" s="26" t="str">
        <f t="shared" si="69"/>
        <v>PLN</v>
      </c>
      <c r="S195" s="23" t="str">
        <f>IF(H195=1,VLOOKUP(COUNTIF($H$2:H195,H195),Specyfikacja!$A$5:$D$99,2,0),IF(H195=2,VLOOKUP(COUNTIF($H$2:H195,H195),Specyfikacja!$A$5:$K$99,9,0),""))</f>
        <v/>
      </c>
      <c r="T195" s="23" t="str">
        <f>IF(H195=1,VLOOKUP(COUNTIF($H$2:H195,H195),Specyfikacja!$A$5:$D$99,3,0),IF(H195=2,VLOOKUP(COUNTIF($H$2:H195,H195),Specyfikacja!$A$5:$K$99,10,0),""))</f>
        <v/>
      </c>
      <c r="U195" s="23" t="str">
        <f>SUBSTITUTE(SUBSTITUTE(IF(H195=1,VLOOKUP(COUNTIF($H$2:H195,H195),Specyfikacja!$A$5:$D$99,4,0),IF(H195=2,VLOOKUP(COUNTIF($H$2:H195,H195),Specyfikacja!$A$5:$K$99,11,0),"")),"Tak","YES"),"Nie","NO")</f>
        <v/>
      </c>
      <c r="W195" s="646" t="str">
        <f t="shared" ca="1" si="74"/>
        <v>='ZAMÓWIENIE | WYCENA'!C138</v>
      </c>
      <c r="X195" s="646"/>
      <c r="Y195" s="646"/>
      <c r="Z195" s="650" t="s">
        <v>811</v>
      </c>
      <c r="AA195" s="647">
        <f t="shared" ca="1" si="77"/>
        <v>27.5</v>
      </c>
      <c r="AB195" s="647">
        <f t="shared" ca="1" si="77"/>
        <v>0</v>
      </c>
      <c r="AC195" s="647">
        <f t="shared" ca="1" si="77"/>
        <v>0</v>
      </c>
      <c r="AD195" s="646" t="str">
        <f t="shared" si="75"/>
        <v>1000-000-000X-KJP125</v>
      </c>
      <c r="AE195" s="648">
        <f t="shared" ca="1" si="76"/>
        <v>27.5</v>
      </c>
    </row>
    <row r="196" spans="1:31" s="7" customFormat="1" ht="12">
      <c r="A196" s="23">
        <v>195</v>
      </c>
      <c r="B196" s="23" t="str">
        <f>'ZAMÓWIENIE | WYCENA'!C139</f>
        <v>1000-000-000X-SPS400</v>
      </c>
      <c r="C196" s="15">
        <f>'ZAMÓWIENIE | WYCENA'!F139</f>
        <v>0</v>
      </c>
      <c r="D196" s="14">
        <v>1</v>
      </c>
      <c r="E196" s="13"/>
      <c r="F196" s="13"/>
      <c r="G196" s="13"/>
      <c r="H196" s="24">
        <f>IFERROR(IF(COUNTIFS($H$1:H195,H195)&gt;=VLOOKUP(H195,$A$2:$D$309,4,0),IF(H195=MAX($A$2:$A$317),"",Lista!H195+1),H195),"")</f>
        <v>195</v>
      </c>
      <c r="I196" s="22" t="str">
        <f t="shared" si="78"/>
        <v>1000-000-000X-SPS400</v>
      </c>
      <c r="J196" s="24">
        <f t="shared" si="79"/>
        <v>0</v>
      </c>
      <c r="K196" s="25">
        <f t="shared" si="66"/>
        <v>0</v>
      </c>
      <c r="L196" s="26">
        <f t="shared" si="67"/>
        <v>0</v>
      </c>
      <c r="M196" s="26">
        <f t="shared" si="61"/>
        <v>0</v>
      </c>
      <c r="N196" s="26" t="str">
        <f t="shared" si="62"/>
        <v>SHO</v>
      </c>
      <c r="O196" s="26" t="str">
        <f t="shared" si="63"/>
        <v>IPT</v>
      </c>
      <c r="P196" s="25" t="str">
        <f t="shared" ca="1" si="64"/>
        <v>ND260415_0</v>
      </c>
      <c r="Q196" s="27" t="str">
        <f t="shared" ca="1" si="68"/>
        <v>2026-04-15</v>
      </c>
      <c r="R196" s="26" t="str">
        <f t="shared" si="69"/>
        <v>PLN</v>
      </c>
      <c r="S196" s="23" t="str">
        <f>IF(H196=1,VLOOKUP(COUNTIF($H$2:H196,H196),Specyfikacja!$A$5:$D$99,2,0),IF(H196=2,VLOOKUP(COUNTIF($H$2:H196,H196),Specyfikacja!$A$5:$K$99,9,0),""))</f>
        <v/>
      </c>
      <c r="T196" s="23" t="str">
        <f>IF(H196=1,VLOOKUP(COUNTIF($H$2:H196,H196),Specyfikacja!$A$5:$D$99,3,0),IF(H196=2,VLOOKUP(COUNTIF($H$2:H196,H196),Specyfikacja!$A$5:$K$99,10,0),""))</f>
        <v/>
      </c>
      <c r="U196" s="23" t="str">
        <f>SUBSTITUTE(SUBSTITUTE(IF(H196=1,VLOOKUP(COUNTIF($H$2:H196,H196),Specyfikacja!$A$5:$D$99,4,0),IF(H196=2,VLOOKUP(COUNTIF($H$2:H196,H196),Specyfikacja!$A$5:$K$99,11,0),"")),"Tak","YES"),"Nie","NO")</f>
        <v/>
      </c>
      <c r="W196" s="646" t="str">
        <f t="shared" ca="1" si="74"/>
        <v>='ZAMÓWIENIE | WYCENA'!C139</v>
      </c>
      <c r="X196" s="646"/>
      <c r="Y196" s="646"/>
      <c r="Z196" s="650" t="s">
        <v>812</v>
      </c>
      <c r="AA196" s="647">
        <f t="shared" ca="1" si="77"/>
        <v>38.799999999999997</v>
      </c>
      <c r="AB196" s="647">
        <f t="shared" ca="1" si="77"/>
        <v>0</v>
      </c>
      <c r="AC196" s="647">
        <f t="shared" ca="1" si="77"/>
        <v>0</v>
      </c>
      <c r="AD196" s="646" t="str">
        <f t="shared" si="75"/>
        <v>1000-000-000X-SPS400</v>
      </c>
      <c r="AE196" s="648">
        <f t="shared" ca="1" si="76"/>
        <v>38.799999999999997</v>
      </c>
    </row>
    <row r="197" spans="1:31" s="7" customFormat="1" ht="12">
      <c r="A197" s="23">
        <v>196</v>
      </c>
      <c r="B197" s="23" t="str">
        <f>SUBSTITUTE('ZAMÓWIENIE | WYCENA'!C140,"_",'ZAMÓWIENIE | WYCENA'!$H$141,1)</f>
        <v>1000-000-738S-USC310</v>
      </c>
      <c r="C197" s="15">
        <f>'ZAMÓWIENIE | WYCENA'!H140</f>
        <v>0</v>
      </c>
      <c r="D197" s="14">
        <v>1</v>
      </c>
      <c r="E197" s="13"/>
      <c r="F197" s="13"/>
      <c r="G197" s="13"/>
      <c r="H197" s="24">
        <f>IFERROR(IF(COUNTIFS($H$1:H196,H196)&gt;=VLOOKUP(H196,$A$2:$D$309,4,0),IF(H196=MAX($A$2:$A$317),"",Lista!H196+1),H196),"")</f>
        <v>196</v>
      </c>
      <c r="I197" s="22" t="str">
        <f t="shared" si="78"/>
        <v>1000-000-738S-USC310</v>
      </c>
      <c r="J197" s="24">
        <f t="shared" si="79"/>
        <v>0</v>
      </c>
      <c r="K197" s="25">
        <f t="shared" si="66"/>
        <v>0</v>
      </c>
      <c r="L197" s="26">
        <f t="shared" si="67"/>
        <v>0</v>
      </c>
      <c r="M197" s="26">
        <f t="shared" ref="M197:M260" si="80">IF(H197=H196,"",IF(H197="","",$F$4))</f>
        <v>0</v>
      </c>
      <c r="N197" s="26" t="str">
        <f t="shared" ref="N197:N260" si="81">IF(H197=H196,"",IF(H197="","",$F$5))</f>
        <v>SHO</v>
      </c>
      <c r="O197" s="26" t="str">
        <f t="shared" ref="O197:O260" si="82">IF(H197=H196,"",IF(H197="","",$F$6))</f>
        <v>IPT</v>
      </c>
      <c r="P197" s="25" t="str">
        <f t="shared" ref="P197:P260" ca="1" si="83">IF(H197=H196,"",IF(H197="","",$F$7))</f>
        <v>ND260415_0</v>
      </c>
      <c r="Q197" s="27" t="str">
        <f t="shared" ca="1" si="68"/>
        <v>2026-04-15</v>
      </c>
      <c r="R197" s="26" t="str">
        <f t="shared" si="69"/>
        <v>PLN</v>
      </c>
      <c r="S197" s="23" t="str">
        <f>IF(H197=1,VLOOKUP(COUNTIF($H$2:H197,H197),Specyfikacja!$A$5:$D$99,2,0),IF(H197=2,VLOOKUP(COUNTIF($H$2:H197,H197),Specyfikacja!$A$5:$K$99,9,0),""))</f>
        <v/>
      </c>
      <c r="T197" s="23" t="str">
        <f>IF(H197=1,VLOOKUP(COUNTIF($H$2:H197,H197),Specyfikacja!$A$5:$D$99,3,0),IF(H197=2,VLOOKUP(COUNTIF($H$2:H197,H197),Specyfikacja!$A$5:$K$99,10,0),""))</f>
        <v/>
      </c>
      <c r="U197" s="23" t="str">
        <f>SUBSTITUTE(SUBSTITUTE(IF(H197=1,VLOOKUP(COUNTIF($H$2:H197,H197),Specyfikacja!$A$5:$D$99,4,0),IF(H197=2,VLOOKUP(COUNTIF($H$2:H197,H197),Specyfikacja!$A$5:$K$99,11,0),"")),"Tak","YES"),"Nie","NO")</f>
        <v/>
      </c>
      <c r="W197" s="646" t="str">
        <f t="shared" ca="1" si="74"/>
        <v>=PODSTAW('ZAMÓWIENIE | WYCENA'!C140;"_";'ZAMÓWIENIE | WYCENA'!$H$141;1)</v>
      </c>
      <c r="X197" s="646">
        <f t="shared" ref="X197:X221" ca="1" si="84">FIND("'",W197)</f>
        <v>10</v>
      </c>
      <c r="Y197" s="646">
        <f t="shared" ref="Y197:Y221" ca="1" si="85">FIND(";",W197)</f>
        <v>36</v>
      </c>
      <c r="Z197" s="646" t="str">
        <f t="shared" ref="Z197:Z221" ca="1" si="86">MID(W197,X197,Y197-X197)</f>
        <v>'ZAMÓWIENIE | WYCENA'!C140</v>
      </c>
      <c r="AA197" s="647">
        <f t="shared" ca="1" si="77"/>
        <v>96.3</v>
      </c>
      <c r="AB197" s="647">
        <f t="shared" ca="1" si="77"/>
        <v>0</v>
      </c>
      <c r="AC197" s="647">
        <f t="shared" ca="1" si="77"/>
        <v>0</v>
      </c>
      <c r="AD197" s="646" t="str">
        <f t="shared" si="75"/>
        <v>1000-000-738S-USC310</v>
      </c>
      <c r="AE197" s="648">
        <f t="shared" ca="1" si="76"/>
        <v>96.3</v>
      </c>
    </row>
    <row r="198" spans="1:31" s="7" customFormat="1" ht="12">
      <c r="A198" s="23">
        <v>197</v>
      </c>
      <c r="B198" s="23" t="str">
        <f>SUBSTITUTE('ZAMÓWIENIE | WYCENA'!C140,"_",'ZAMÓWIENIE | WYCENA'!$I$141,1)</f>
        <v>1000-000-905S-USC310</v>
      </c>
      <c r="C198" s="15">
        <f>'ZAMÓWIENIE | WYCENA'!I140</f>
        <v>0</v>
      </c>
      <c r="D198" s="14">
        <v>1</v>
      </c>
      <c r="E198" s="13"/>
      <c r="F198" s="13"/>
      <c r="G198" s="13"/>
      <c r="H198" s="24">
        <f>IFERROR(IF(COUNTIFS($H$1:H197,H197)&gt;=VLOOKUP(H197,$A$2:$D$309,4,0),IF(H197=MAX($A$2:$A$317),"",Lista!H197+1),H197),"")</f>
        <v>197</v>
      </c>
      <c r="I198" s="22" t="str">
        <f t="shared" si="78"/>
        <v>1000-000-905S-USC310</v>
      </c>
      <c r="J198" s="24">
        <f t="shared" si="79"/>
        <v>0</v>
      </c>
      <c r="K198" s="25">
        <f t="shared" si="66"/>
        <v>0</v>
      </c>
      <c r="L198" s="26">
        <f t="shared" si="67"/>
        <v>0</v>
      </c>
      <c r="M198" s="26">
        <f t="shared" si="80"/>
        <v>0</v>
      </c>
      <c r="N198" s="26" t="str">
        <f t="shared" si="81"/>
        <v>SHO</v>
      </c>
      <c r="O198" s="26" t="str">
        <f t="shared" si="82"/>
        <v>IPT</v>
      </c>
      <c r="P198" s="25" t="str">
        <f t="shared" ca="1" si="83"/>
        <v>ND260415_0</v>
      </c>
      <c r="Q198" s="27" t="str">
        <f t="shared" ca="1" si="68"/>
        <v>2026-04-15</v>
      </c>
      <c r="R198" s="26" t="str">
        <f t="shared" si="69"/>
        <v>PLN</v>
      </c>
      <c r="S198" s="23" t="str">
        <f>IF(H198=1,VLOOKUP(COUNTIF($H$2:H198,H198),Specyfikacja!$A$5:$D$99,2,0),IF(H198=2,VLOOKUP(COUNTIF($H$2:H198,H198),Specyfikacja!$A$5:$K$99,9,0),""))</f>
        <v/>
      </c>
      <c r="T198" s="23" t="str">
        <f>IF(H198=1,VLOOKUP(COUNTIF($H$2:H198,H198),Specyfikacja!$A$5:$D$99,3,0),IF(H198=2,VLOOKUP(COUNTIF($H$2:H198,H198),Specyfikacja!$A$5:$K$99,10,0),""))</f>
        <v/>
      </c>
      <c r="U198" s="23" t="str">
        <f>SUBSTITUTE(SUBSTITUTE(IF(H198=1,VLOOKUP(COUNTIF($H$2:H198,H198),Specyfikacja!$A$5:$D$99,4,0),IF(H198=2,VLOOKUP(COUNTIF($H$2:H198,H198),Specyfikacja!$A$5:$K$99,11,0),"")),"Tak","YES"),"Nie","NO")</f>
        <v/>
      </c>
      <c r="W198" s="646" t="str">
        <f t="shared" ca="1" si="74"/>
        <v>=PODSTAW('ZAMÓWIENIE | WYCENA'!C140;"_";'ZAMÓWIENIE | WYCENA'!$I$141;1)</v>
      </c>
      <c r="X198" s="646">
        <f t="shared" ca="1" si="84"/>
        <v>10</v>
      </c>
      <c r="Y198" s="646">
        <f t="shared" ca="1" si="85"/>
        <v>36</v>
      </c>
      <c r="Z198" s="646" t="str">
        <f t="shared" ca="1" si="86"/>
        <v>'ZAMÓWIENIE | WYCENA'!C140</v>
      </c>
      <c r="AA198" s="647">
        <f t="shared" ca="1" si="77"/>
        <v>96.3</v>
      </c>
      <c r="AB198" s="647">
        <f t="shared" ca="1" si="77"/>
        <v>0</v>
      </c>
      <c r="AC198" s="647">
        <f t="shared" ca="1" si="77"/>
        <v>0</v>
      </c>
      <c r="AD198" s="646" t="str">
        <f t="shared" si="75"/>
        <v>1000-000-905S-USC310</v>
      </c>
      <c r="AE198" s="648">
        <f t="shared" ca="1" si="76"/>
        <v>96.3</v>
      </c>
    </row>
    <row r="199" spans="1:31" s="7" customFormat="1" ht="12">
      <c r="A199" s="23">
        <v>198</v>
      </c>
      <c r="B199" s="23" t="str">
        <f>SUBSTITUTE('ZAMÓWIENIE | WYCENA'!C148,"_",'ZAMÓWIENIE | WYCENA'!$F$147,1)</f>
        <v>3000-000-716S-ZZR240</v>
      </c>
      <c r="C199" s="15">
        <f>'ZAMÓWIENIE | WYCENA'!F148</f>
        <v>0</v>
      </c>
      <c r="D199" s="14">
        <v>1</v>
      </c>
      <c r="E199" s="13"/>
      <c r="F199" s="13"/>
      <c r="G199" s="13"/>
      <c r="H199" s="24">
        <f>IFERROR(IF(COUNTIFS($H$1:H198,H198)&gt;=VLOOKUP(H198,$A$2:$D$309,4,0),IF(H198=MAX($A$2:$A$317),"",Lista!H198+1),H198),"")</f>
        <v>198</v>
      </c>
      <c r="I199" s="22" t="str">
        <f t="shared" si="78"/>
        <v>3000-000-716S-ZZR240</v>
      </c>
      <c r="J199" s="24">
        <f t="shared" si="79"/>
        <v>0</v>
      </c>
      <c r="K199" s="25">
        <f t="shared" si="66"/>
        <v>0</v>
      </c>
      <c r="L199" s="26">
        <f t="shared" si="67"/>
        <v>0</v>
      </c>
      <c r="M199" s="26">
        <f t="shared" si="80"/>
        <v>0</v>
      </c>
      <c r="N199" s="26" t="str">
        <f t="shared" si="81"/>
        <v>SHO</v>
      </c>
      <c r="O199" s="26" t="str">
        <f t="shared" si="82"/>
        <v>IPT</v>
      </c>
      <c r="P199" s="25" t="str">
        <f t="shared" ca="1" si="83"/>
        <v>ND260415_0</v>
      </c>
      <c r="Q199" s="27" t="str">
        <f t="shared" ca="1" si="68"/>
        <v>2026-04-15</v>
      </c>
      <c r="R199" s="26" t="str">
        <f t="shared" si="69"/>
        <v>PLN</v>
      </c>
      <c r="S199" s="23" t="str">
        <f>IF(H199=1,VLOOKUP(COUNTIF($H$2:H199,H199),Specyfikacja!$A$5:$D$99,2,0),IF(H199=2,VLOOKUP(COUNTIF($H$2:H199,H199),Specyfikacja!$A$5:$K$99,9,0),""))</f>
        <v/>
      </c>
      <c r="T199" s="23" t="str">
        <f>IF(H199=1,VLOOKUP(COUNTIF($H$2:H199,H199),Specyfikacja!$A$5:$D$99,3,0),IF(H199=2,VLOOKUP(COUNTIF($H$2:H199,H199),Specyfikacja!$A$5:$K$99,10,0),""))</f>
        <v/>
      </c>
      <c r="U199" s="23" t="str">
        <f>SUBSTITUTE(SUBSTITUTE(IF(H199=1,VLOOKUP(COUNTIF($H$2:H199,H199),Specyfikacja!$A$5:$D$99,4,0),IF(H199=2,VLOOKUP(COUNTIF($H$2:H199,H199),Specyfikacja!$A$5:$K$99,11,0),"")),"Tak","YES"),"Nie","NO")</f>
        <v/>
      </c>
      <c r="W199" s="646" t="str">
        <f t="shared" ca="1" si="74"/>
        <v>=PODSTAW('ZAMÓWIENIE | WYCENA'!C148;"_";'ZAMÓWIENIE | WYCENA'!$F$147;1)</v>
      </c>
      <c r="X199" s="646">
        <f t="shared" ca="1" si="84"/>
        <v>10</v>
      </c>
      <c r="Y199" s="646">
        <f t="shared" ca="1" si="85"/>
        <v>36</v>
      </c>
      <c r="Z199" s="646" t="str">
        <f t="shared" ca="1" si="86"/>
        <v>'ZAMÓWIENIE | WYCENA'!C148</v>
      </c>
      <c r="AA199" s="647">
        <f t="shared" ca="1" si="77"/>
        <v>663.2</v>
      </c>
      <c r="AB199" s="647">
        <f t="shared" ca="1" si="77"/>
        <v>0</v>
      </c>
      <c r="AC199" s="647">
        <f t="shared" ca="1" si="77"/>
        <v>0</v>
      </c>
      <c r="AD199" s="646" t="str">
        <f t="shared" si="75"/>
        <v>3000-000-716S-ZZR240</v>
      </c>
      <c r="AE199" s="648">
        <f t="shared" ca="1" si="76"/>
        <v>663.2</v>
      </c>
    </row>
    <row r="200" spans="1:31" s="7" customFormat="1" ht="12">
      <c r="A200" s="23">
        <v>199</v>
      </c>
      <c r="B200" s="23" t="str">
        <f>SUBSTITUTE('ZAMÓWIENIE | WYCENA'!C149,"_",'ZAMÓWIENIE | WYCENA'!$F$147,1)</f>
        <v>3000-000-716S-ZZR360</v>
      </c>
      <c r="C200" s="15">
        <f>'ZAMÓWIENIE | WYCENA'!F149</f>
        <v>0</v>
      </c>
      <c r="D200" s="14">
        <v>1</v>
      </c>
      <c r="E200" s="13"/>
      <c r="F200" s="13"/>
      <c r="G200" s="13"/>
      <c r="H200" s="24">
        <f>IFERROR(IF(COUNTIFS($H$1:H199,H199)&gt;=VLOOKUP(H199,$A$2:$D$309,4,0),IF(H199=MAX($A$2:$A$317),"",Lista!H199+1),H199),"")</f>
        <v>199</v>
      </c>
      <c r="I200" s="22" t="str">
        <f t="shared" si="78"/>
        <v>3000-000-716S-ZZR360</v>
      </c>
      <c r="J200" s="24">
        <f t="shared" si="79"/>
        <v>0</v>
      </c>
      <c r="K200" s="25">
        <f t="shared" si="66"/>
        <v>0</v>
      </c>
      <c r="L200" s="26">
        <f t="shared" si="67"/>
        <v>0</v>
      </c>
      <c r="M200" s="26">
        <f t="shared" si="80"/>
        <v>0</v>
      </c>
      <c r="N200" s="26" t="str">
        <f t="shared" si="81"/>
        <v>SHO</v>
      </c>
      <c r="O200" s="26" t="str">
        <f t="shared" si="82"/>
        <v>IPT</v>
      </c>
      <c r="P200" s="25" t="str">
        <f t="shared" ca="1" si="83"/>
        <v>ND260415_0</v>
      </c>
      <c r="Q200" s="27" t="str">
        <f t="shared" ca="1" si="68"/>
        <v>2026-04-15</v>
      </c>
      <c r="R200" s="26" t="str">
        <f t="shared" si="69"/>
        <v>PLN</v>
      </c>
      <c r="S200" s="23" t="str">
        <f>IF(H200=1,VLOOKUP(COUNTIF($H$2:H200,H200),Specyfikacja!$A$5:$D$99,2,0),IF(H200=2,VLOOKUP(COUNTIF($H$2:H200,H200),Specyfikacja!$A$5:$K$99,9,0),""))</f>
        <v/>
      </c>
      <c r="T200" s="23" t="str">
        <f>IF(H200=1,VLOOKUP(COUNTIF($H$2:H200,H200),Specyfikacja!$A$5:$D$99,3,0),IF(H200=2,VLOOKUP(COUNTIF($H$2:H200,H200),Specyfikacja!$A$5:$K$99,10,0),""))</f>
        <v/>
      </c>
      <c r="U200" s="23" t="str">
        <f>SUBSTITUTE(SUBSTITUTE(IF(H200=1,VLOOKUP(COUNTIF($H$2:H200,H200),Specyfikacja!$A$5:$D$99,4,0),IF(H200=2,VLOOKUP(COUNTIF($H$2:H200,H200),Specyfikacja!$A$5:$K$99,11,0),"")),"Tak","YES"),"Nie","NO")</f>
        <v/>
      </c>
      <c r="W200" s="646" t="str">
        <f t="shared" ca="1" si="74"/>
        <v>=PODSTAW('ZAMÓWIENIE | WYCENA'!C149;"_";'ZAMÓWIENIE | WYCENA'!$F$147;1)</v>
      </c>
      <c r="X200" s="646">
        <f t="shared" ca="1" si="84"/>
        <v>10</v>
      </c>
      <c r="Y200" s="646">
        <f t="shared" ca="1" si="85"/>
        <v>36</v>
      </c>
      <c r="Z200" s="646" t="str">
        <f t="shared" ca="1" si="86"/>
        <v>'ZAMÓWIENIE | WYCENA'!C149</v>
      </c>
      <c r="AA200" s="647">
        <f t="shared" ca="1" si="77"/>
        <v>918.8</v>
      </c>
      <c r="AB200" s="647">
        <f t="shared" ca="1" si="77"/>
        <v>0</v>
      </c>
      <c r="AC200" s="647">
        <f t="shared" ca="1" si="77"/>
        <v>0</v>
      </c>
      <c r="AD200" s="646" t="str">
        <f t="shared" si="75"/>
        <v>3000-000-716S-ZZR360</v>
      </c>
      <c r="AE200" s="648">
        <f t="shared" ca="1" si="76"/>
        <v>918.8</v>
      </c>
    </row>
    <row r="201" spans="1:31" s="7" customFormat="1" ht="12">
      <c r="A201" s="23">
        <v>200</v>
      </c>
      <c r="B201" s="23" t="str">
        <f>SUBSTITUTE('ZAMÓWIENIE | WYCENA'!C151,"_",'ZAMÓWIENIE | WYCENA'!$F$147,1)</f>
        <v>3000-000-716S-ZWR000</v>
      </c>
      <c r="C201" s="15">
        <f>'ZAMÓWIENIE | WYCENA'!F151</f>
        <v>0</v>
      </c>
      <c r="D201" s="14">
        <v>1</v>
      </c>
      <c r="E201" s="13"/>
      <c r="F201" s="13"/>
      <c r="G201" s="13"/>
      <c r="H201" s="24">
        <f>IFERROR(IF(COUNTIFS($H$1:H200,H200)&gt;=VLOOKUP(H200,$A$2:$D$309,4,0),IF(H200=MAX($A$2:$A$317),"",Lista!H200+1),H200),"")</f>
        <v>200</v>
      </c>
      <c r="I201" s="22" t="str">
        <f t="shared" si="78"/>
        <v>3000-000-716S-ZWR000</v>
      </c>
      <c r="J201" s="24">
        <f t="shared" si="79"/>
        <v>0</v>
      </c>
      <c r="K201" s="25">
        <f t="shared" si="66"/>
        <v>0</v>
      </c>
      <c r="L201" s="26">
        <f t="shared" si="67"/>
        <v>0</v>
      </c>
      <c r="M201" s="26">
        <f t="shared" si="80"/>
        <v>0</v>
      </c>
      <c r="N201" s="26" t="str">
        <f t="shared" si="81"/>
        <v>SHO</v>
      </c>
      <c r="O201" s="26" t="str">
        <f t="shared" si="82"/>
        <v>IPT</v>
      </c>
      <c r="P201" s="25" t="str">
        <f t="shared" ca="1" si="83"/>
        <v>ND260415_0</v>
      </c>
      <c r="Q201" s="27" t="str">
        <f t="shared" ca="1" si="68"/>
        <v>2026-04-15</v>
      </c>
      <c r="R201" s="26" t="str">
        <f t="shared" si="69"/>
        <v>PLN</v>
      </c>
      <c r="S201" s="23" t="str">
        <f>IF(H201=1,VLOOKUP(COUNTIF($H$2:H201,H201),Specyfikacja!$A$5:$D$99,2,0),IF(H201=2,VLOOKUP(COUNTIF($H$2:H201,H201),Specyfikacja!$A$5:$K$99,9,0),""))</f>
        <v/>
      </c>
      <c r="T201" s="23" t="str">
        <f>IF(H201=1,VLOOKUP(COUNTIF($H$2:H201,H201),Specyfikacja!$A$5:$D$99,3,0),IF(H201=2,VLOOKUP(COUNTIF($H$2:H201,H201),Specyfikacja!$A$5:$K$99,10,0),""))</f>
        <v/>
      </c>
      <c r="U201" s="23" t="str">
        <f>SUBSTITUTE(SUBSTITUTE(IF(H201=1,VLOOKUP(COUNTIF($H$2:H201,H201),Specyfikacja!$A$5:$D$99,4,0),IF(H201=2,VLOOKUP(COUNTIF($H$2:H201,H201),Specyfikacja!$A$5:$K$99,11,0),"")),"Tak","YES"),"Nie","NO")</f>
        <v/>
      </c>
      <c r="W201" s="646" t="str">
        <f t="shared" ca="1" si="74"/>
        <v>=PODSTAW('ZAMÓWIENIE | WYCENA'!C151;"_";'ZAMÓWIENIE | WYCENA'!$F$147;1)</v>
      </c>
      <c r="X201" s="646">
        <f t="shared" ca="1" si="84"/>
        <v>10</v>
      </c>
      <c r="Y201" s="646">
        <f t="shared" ca="1" si="85"/>
        <v>36</v>
      </c>
      <c r="Z201" s="646" t="str">
        <f t="shared" ca="1" si="86"/>
        <v>'ZAMÓWIENIE | WYCENA'!C151</v>
      </c>
      <c r="AA201" s="647">
        <f t="shared" ca="1" si="77"/>
        <v>68.8</v>
      </c>
      <c r="AB201" s="647">
        <f t="shared" ca="1" si="77"/>
        <v>0</v>
      </c>
      <c r="AC201" s="647">
        <f t="shared" ca="1" si="77"/>
        <v>0</v>
      </c>
      <c r="AD201" s="646" t="str">
        <f t="shared" si="75"/>
        <v>3000-000-716S-ZWR000</v>
      </c>
      <c r="AE201" s="648">
        <f t="shared" ca="1" si="76"/>
        <v>68.8</v>
      </c>
    </row>
    <row r="202" spans="1:31" s="7" customFormat="1" ht="12">
      <c r="A202" s="23">
        <v>201</v>
      </c>
      <c r="B202" s="23" t="str">
        <f>SUBSTITUTE('ZAMÓWIENIE | WYCENA'!C152,"_",'ZAMÓWIENIE | WYCENA'!$F$147,1)</f>
        <v>3000-000-716S-ZRU120</v>
      </c>
      <c r="C202" s="15">
        <f>'ZAMÓWIENIE | WYCENA'!F152</f>
        <v>0</v>
      </c>
      <c r="D202" s="14">
        <v>1</v>
      </c>
      <c r="E202" s="13"/>
      <c r="F202" s="13"/>
      <c r="G202" s="13"/>
      <c r="H202" s="24">
        <f>IFERROR(IF(COUNTIFS($H$1:H201,H201)&gt;=VLOOKUP(H201,$A$2:$D$309,4,0),IF(H201=MAX($A$2:$A$317),"",Lista!H201+1),H201),"")</f>
        <v>201</v>
      </c>
      <c r="I202" s="22" t="str">
        <f t="shared" si="78"/>
        <v>3000-000-716S-ZRU120</v>
      </c>
      <c r="J202" s="24">
        <f t="shared" si="79"/>
        <v>0</v>
      </c>
      <c r="K202" s="25">
        <f t="shared" si="66"/>
        <v>0</v>
      </c>
      <c r="L202" s="26">
        <f t="shared" si="67"/>
        <v>0</v>
      </c>
      <c r="M202" s="26">
        <f t="shared" si="80"/>
        <v>0</v>
      </c>
      <c r="N202" s="26" t="str">
        <f t="shared" si="81"/>
        <v>SHO</v>
      </c>
      <c r="O202" s="26" t="str">
        <f t="shared" si="82"/>
        <v>IPT</v>
      </c>
      <c r="P202" s="25" t="str">
        <f t="shared" ca="1" si="83"/>
        <v>ND260415_0</v>
      </c>
      <c r="Q202" s="27" t="str">
        <f t="shared" ca="1" si="68"/>
        <v>2026-04-15</v>
      </c>
      <c r="R202" s="26" t="str">
        <f t="shared" si="69"/>
        <v>PLN</v>
      </c>
      <c r="S202" s="23" t="str">
        <f>IF(H202=1,VLOOKUP(COUNTIF($H$2:H202,H202),Specyfikacja!$A$5:$D$99,2,0),IF(H202=2,VLOOKUP(COUNTIF($H$2:H202,H202),Specyfikacja!$A$5:$K$99,9,0),""))</f>
        <v/>
      </c>
      <c r="T202" s="23" t="str">
        <f>IF(H202=1,VLOOKUP(COUNTIF($H$2:H202,H202),Specyfikacja!$A$5:$D$99,3,0),IF(H202=2,VLOOKUP(COUNTIF($H$2:H202,H202),Specyfikacja!$A$5:$K$99,10,0),""))</f>
        <v/>
      </c>
      <c r="U202" s="23" t="str">
        <f>SUBSTITUTE(SUBSTITUTE(IF(H202=1,VLOOKUP(COUNTIF($H$2:H202,H202),Specyfikacja!$A$5:$D$99,4,0),IF(H202=2,VLOOKUP(COUNTIF($H$2:H202,H202),Specyfikacja!$A$5:$K$99,11,0),"")),"Tak","YES"),"Nie","NO")</f>
        <v/>
      </c>
      <c r="W202" s="646" t="str">
        <f t="shared" ca="1" si="74"/>
        <v>=PODSTAW('ZAMÓWIENIE | WYCENA'!C152;"_";'ZAMÓWIENIE | WYCENA'!$F$147;1)</v>
      </c>
      <c r="X202" s="646">
        <f t="shared" ca="1" si="84"/>
        <v>10</v>
      </c>
      <c r="Y202" s="646">
        <f t="shared" ca="1" si="85"/>
        <v>36</v>
      </c>
      <c r="Z202" s="646" t="str">
        <f t="shared" ca="1" si="86"/>
        <v>'ZAMÓWIENIE | WYCENA'!C152</v>
      </c>
      <c r="AA202" s="647">
        <f t="shared" ca="1" si="77"/>
        <v>52.2</v>
      </c>
      <c r="AB202" s="647">
        <f t="shared" ca="1" si="77"/>
        <v>0</v>
      </c>
      <c r="AC202" s="647">
        <f t="shared" ca="1" si="77"/>
        <v>0</v>
      </c>
      <c r="AD202" s="646" t="str">
        <f t="shared" si="75"/>
        <v>3000-000-716S-ZRU120</v>
      </c>
      <c r="AE202" s="648">
        <f t="shared" ca="1" si="76"/>
        <v>52.2</v>
      </c>
    </row>
    <row r="203" spans="1:31" s="7" customFormat="1" ht="12">
      <c r="A203" s="23">
        <v>202</v>
      </c>
      <c r="B203" s="23" t="str">
        <f>SUBSTITUTE('ZAMÓWIENIE | WYCENA'!C153,"_",'ZAMÓWIENIE | WYCENA'!$F$147,1)</f>
        <v>3000-000-716S-ZRU200</v>
      </c>
      <c r="C203" s="15">
        <f>'ZAMÓWIENIE | WYCENA'!F153</f>
        <v>0</v>
      </c>
      <c r="D203" s="14">
        <v>1</v>
      </c>
      <c r="E203" s="13"/>
      <c r="F203" s="13"/>
      <c r="G203" s="13"/>
      <c r="H203" s="24">
        <f>IFERROR(IF(COUNTIFS($H$1:H202,H202)&gt;=VLOOKUP(H202,$A$2:$D$309,4,0),IF(H202=MAX($A$2:$A$317),"",Lista!H202+1),H202),"")</f>
        <v>202</v>
      </c>
      <c r="I203" s="22" t="str">
        <f t="shared" si="78"/>
        <v>3000-000-716S-ZRU200</v>
      </c>
      <c r="J203" s="24">
        <f t="shared" si="79"/>
        <v>0</v>
      </c>
      <c r="K203" s="25">
        <f t="shared" si="66"/>
        <v>0</v>
      </c>
      <c r="L203" s="26">
        <f t="shared" si="67"/>
        <v>0</v>
      </c>
      <c r="M203" s="26">
        <f t="shared" si="80"/>
        <v>0</v>
      </c>
      <c r="N203" s="26" t="str">
        <f t="shared" si="81"/>
        <v>SHO</v>
      </c>
      <c r="O203" s="26" t="str">
        <f t="shared" si="82"/>
        <v>IPT</v>
      </c>
      <c r="P203" s="25" t="str">
        <f t="shared" ca="1" si="83"/>
        <v>ND260415_0</v>
      </c>
      <c r="Q203" s="27" t="str">
        <f t="shared" ca="1" si="68"/>
        <v>2026-04-15</v>
      </c>
      <c r="R203" s="26" t="str">
        <f t="shared" si="69"/>
        <v>PLN</v>
      </c>
      <c r="S203" s="23" t="str">
        <f>IF(H203=1,VLOOKUP(COUNTIF($H$2:H203,H203),Specyfikacja!$A$5:$D$99,2,0),IF(H203=2,VLOOKUP(COUNTIF($H$2:H203,H203),Specyfikacja!$A$5:$K$99,9,0),""))</f>
        <v/>
      </c>
      <c r="T203" s="23" t="str">
        <f>IF(H203=1,VLOOKUP(COUNTIF($H$2:H203,H203),Specyfikacja!$A$5:$D$99,3,0),IF(H203=2,VLOOKUP(COUNTIF($H$2:H203,H203),Specyfikacja!$A$5:$K$99,10,0),""))</f>
        <v/>
      </c>
      <c r="U203" s="23" t="str">
        <f>SUBSTITUTE(SUBSTITUTE(IF(H203=1,VLOOKUP(COUNTIF($H$2:H203,H203),Specyfikacja!$A$5:$D$99,4,0),IF(H203=2,VLOOKUP(COUNTIF($H$2:H203,H203),Specyfikacja!$A$5:$K$99,11,0),"")),"Tak","YES"),"Nie","NO")</f>
        <v/>
      </c>
      <c r="W203" s="646" t="str">
        <f t="shared" ca="1" si="74"/>
        <v>=PODSTAW('ZAMÓWIENIE | WYCENA'!C153;"_";'ZAMÓWIENIE | WYCENA'!$F$147;1)</v>
      </c>
      <c r="X203" s="646">
        <f t="shared" ca="1" si="84"/>
        <v>10</v>
      </c>
      <c r="Y203" s="646">
        <f t="shared" ca="1" si="85"/>
        <v>36</v>
      </c>
      <c r="Z203" s="646" t="str">
        <f t="shared" ca="1" si="86"/>
        <v>'ZAMÓWIENIE | WYCENA'!C153</v>
      </c>
      <c r="AA203" s="647">
        <f t="shared" ca="1" si="77"/>
        <v>78.7</v>
      </c>
      <c r="AB203" s="647">
        <f t="shared" ca="1" si="77"/>
        <v>0</v>
      </c>
      <c r="AC203" s="647">
        <f t="shared" ca="1" si="77"/>
        <v>0</v>
      </c>
      <c r="AD203" s="646" t="str">
        <f t="shared" si="75"/>
        <v>3000-000-716S-ZRU200</v>
      </c>
      <c r="AE203" s="648">
        <f t="shared" ca="1" si="76"/>
        <v>78.7</v>
      </c>
    </row>
    <row r="204" spans="1:31" s="7" customFormat="1" ht="12">
      <c r="A204" s="23">
        <v>203</v>
      </c>
      <c r="B204" s="23" t="str">
        <f>SUBSTITUTE('ZAMÓWIENIE | WYCENA'!C154,"_",'ZAMÓWIENIE | WYCENA'!$F$147,1)</f>
        <v>3000-000-716S-ZBU000</v>
      </c>
      <c r="C204" s="15">
        <f>'ZAMÓWIENIE | WYCENA'!F154</f>
        <v>0</v>
      </c>
      <c r="D204" s="14">
        <v>1</v>
      </c>
      <c r="E204" s="13"/>
      <c r="F204" s="13"/>
      <c r="G204" s="13"/>
      <c r="H204" s="24">
        <f>IFERROR(IF(COUNTIFS($H$1:H203,H203)&gt;=VLOOKUP(H203,$A$2:$D$309,4,0),IF(H203=MAX($A$2:$A$317),"",Lista!H203+1),H203),"")</f>
        <v>203</v>
      </c>
      <c r="I204" s="22" t="str">
        <f t="shared" si="78"/>
        <v>3000-000-716S-ZBU000</v>
      </c>
      <c r="J204" s="24">
        <f t="shared" si="79"/>
        <v>0</v>
      </c>
      <c r="K204" s="25">
        <f t="shared" si="66"/>
        <v>0</v>
      </c>
      <c r="L204" s="26">
        <f t="shared" si="67"/>
        <v>0</v>
      </c>
      <c r="M204" s="26">
        <f t="shared" si="80"/>
        <v>0</v>
      </c>
      <c r="N204" s="26" t="str">
        <f t="shared" si="81"/>
        <v>SHO</v>
      </c>
      <c r="O204" s="26" t="str">
        <f t="shared" si="82"/>
        <v>IPT</v>
      </c>
      <c r="P204" s="25" t="str">
        <f t="shared" ca="1" si="83"/>
        <v>ND260415_0</v>
      </c>
      <c r="Q204" s="27" t="str">
        <f t="shared" ca="1" si="68"/>
        <v>2026-04-15</v>
      </c>
      <c r="R204" s="26" t="str">
        <f t="shared" si="69"/>
        <v>PLN</v>
      </c>
      <c r="S204" s="23" t="str">
        <f>IF(H204=1,VLOOKUP(COUNTIF($H$2:H204,H204),Specyfikacja!$A$5:$D$99,2,0),IF(H204=2,VLOOKUP(COUNTIF($H$2:H204,H204),Specyfikacja!$A$5:$K$99,9,0),""))</f>
        <v/>
      </c>
      <c r="T204" s="23" t="str">
        <f>IF(H204=1,VLOOKUP(COUNTIF($H$2:H204,H204),Specyfikacja!$A$5:$D$99,3,0),IF(H204=2,VLOOKUP(COUNTIF($H$2:H204,H204),Specyfikacja!$A$5:$K$99,10,0),""))</f>
        <v/>
      </c>
      <c r="U204" s="23" t="str">
        <f>SUBSTITUTE(SUBSTITUTE(IF(H204=1,VLOOKUP(COUNTIF($H$2:H204,H204),Specyfikacja!$A$5:$D$99,4,0),IF(H204=2,VLOOKUP(COUNTIF($H$2:H204,H204),Specyfikacja!$A$5:$K$99,11,0),"")),"Tak","YES"),"Nie","NO")</f>
        <v/>
      </c>
      <c r="W204" s="646" t="str">
        <f t="shared" ca="1" si="74"/>
        <v>=PODSTAW('ZAMÓWIENIE | WYCENA'!C154;"_";'ZAMÓWIENIE | WYCENA'!$F$147;1)</v>
      </c>
      <c r="X204" s="646">
        <f t="shared" ca="1" si="84"/>
        <v>10</v>
      </c>
      <c r="Y204" s="646">
        <f t="shared" ca="1" si="85"/>
        <v>36</v>
      </c>
      <c r="Z204" s="646" t="str">
        <f t="shared" ca="1" si="86"/>
        <v>'ZAMÓWIENIE | WYCENA'!C154</v>
      </c>
      <c r="AA204" s="647">
        <f t="shared" ca="1" si="77"/>
        <v>18.7</v>
      </c>
      <c r="AB204" s="647">
        <f t="shared" ca="1" si="77"/>
        <v>0</v>
      </c>
      <c r="AC204" s="647">
        <f t="shared" ca="1" si="77"/>
        <v>0</v>
      </c>
      <c r="AD204" s="646" t="str">
        <f t="shared" si="75"/>
        <v>3000-000-716S-ZBU000</v>
      </c>
      <c r="AE204" s="648">
        <f t="shared" ca="1" si="76"/>
        <v>18.7</v>
      </c>
    </row>
    <row r="205" spans="1:31" s="7" customFormat="1" ht="12">
      <c r="A205" s="23">
        <v>204</v>
      </c>
      <c r="B205" s="23" t="str">
        <f>SUBSTITUTE('ZAMÓWIENIE | WYCENA'!C162,"_",'ZAMÓWIENIE | WYCENA'!$F$147,1)</f>
        <v>3000-000-716S-KZR060</v>
      </c>
      <c r="C205" s="15">
        <f>'ZAMÓWIENIE | WYCENA'!F162</f>
        <v>0</v>
      </c>
      <c r="D205" s="14">
        <v>1</v>
      </c>
      <c r="E205" s="13"/>
      <c r="F205" s="13"/>
      <c r="G205" s="13"/>
      <c r="H205" s="24">
        <f>IFERROR(IF(COUNTIFS($H$1:H204,H204)&gt;=VLOOKUP(H204,$A$2:$D$309,4,0),IF(H204=MAX($A$2:$A$317),"",Lista!H204+1),H204),"")</f>
        <v>204</v>
      </c>
      <c r="I205" s="22" t="str">
        <f t="shared" si="78"/>
        <v>3000-000-716S-KZR060</v>
      </c>
      <c r="J205" s="24">
        <f t="shared" si="79"/>
        <v>0</v>
      </c>
      <c r="K205" s="25">
        <f t="shared" si="66"/>
        <v>0</v>
      </c>
      <c r="L205" s="26">
        <f t="shared" si="67"/>
        <v>0</v>
      </c>
      <c r="M205" s="26">
        <f t="shared" si="80"/>
        <v>0</v>
      </c>
      <c r="N205" s="26" t="str">
        <f t="shared" si="81"/>
        <v>SHO</v>
      </c>
      <c r="O205" s="26" t="str">
        <f t="shared" si="82"/>
        <v>IPT</v>
      </c>
      <c r="P205" s="25" t="str">
        <f t="shared" ca="1" si="83"/>
        <v>ND260415_0</v>
      </c>
      <c r="Q205" s="27" t="str">
        <f t="shared" ca="1" si="68"/>
        <v>2026-04-15</v>
      </c>
      <c r="R205" s="26" t="str">
        <f t="shared" si="69"/>
        <v>PLN</v>
      </c>
      <c r="S205" s="23" t="str">
        <f>IF(H205=1,VLOOKUP(COUNTIF($H$2:H205,H205),Specyfikacja!$A$5:$D$99,2,0),IF(H205=2,VLOOKUP(COUNTIF($H$2:H205,H205),Specyfikacja!$A$5:$K$99,9,0),""))</f>
        <v/>
      </c>
      <c r="T205" s="23" t="str">
        <f>IF(H205=1,VLOOKUP(COUNTIF($H$2:H205,H205),Specyfikacja!$A$5:$D$99,3,0),IF(H205=2,VLOOKUP(COUNTIF($H$2:H205,H205),Specyfikacja!$A$5:$K$99,10,0),""))</f>
        <v/>
      </c>
      <c r="U205" s="23" t="str">
        <f>SUBSTITUTE(SUBSTITUTE(IF(H205=1,VLOOKUP(COUNTIF($H$2:H205,H205),Specyfikacja!$A$5:$D$99,4,0),IF(H205=2,VLOOKUP(COUNTIF($H$2:H205,H205),Specyfikacja!$A$5:$K$99,11,0),"")),"Tak","YES"),"Nie","NO")</f>
        <v/>
      </c>
      <c r="W205" s="646" t="str">
        <f t="shared" ca="1" si="74"/>
        <v>=PODSTAW('ZAMÓWIENIE | WYCENA'!C162;"_";'ZAMÓWIENIE | WYCENA'!$F$147;1)</v>
      </c>
      <c r="X205" s="646">
        <f t="shared" ca="1" si="84"/>
        <v>10</v>
      </c>
      <c r="Y205" s="646">
        <f t="shared" ca="1" si="85"/>
        <v>36</v>
      </c>
      <c r="Z205" s="646" t="str">
        <f t="shared" ca="1" si="86"/>
        <v>'ZAMÓWIENIE | WYCENA'!C162</v>
      </c>
      <c r="AA205" s="647">
        <f t="shared" ca="1" si="77"/>
        <v>332.5</v>
      </c>
      <c r="AB205" s="647">
        <f t="shared" ca="1" si="77"/>
        <v>0</v>
      </c>
      <c r="AC205" s="647">
        <f t="shared" ca="1" si="77"/>
        <v>0</v>
      </c>
      <c r="AD205" s="646" t="str">
        <f t="shared" si="75"/>
        <v>3000-000-716S-KZR060</v>
      </c>
      <c r="AE205" s="648">
        <f t="shared" ca="1" si="76"/>
        <v>332.5</v>
      </c>
    </row>
    <row r="206" spans="1:31" s="7" customFormat="1" ht="12">
      <c r="A206" s="23">
        <v>205</v>
      </c>
      <c r="B206" s="23" t="str">
        <f>SUBSTITUTE('ZAMÓWIENIE | WYCENA'!C163,"_",'ZAMÓWIENIE | WYCENA'!$F$147,1)</f>
        <v>3000-000-716S-KZR120</v>
      </c>
      <c r="C206" s="15">
        <f>'ZAMÓWIENIE | WYCENA'!F163</f>
        <v>0</v>
      </c>
      <c r="D206" s="14">
        <v>1</v>
      </c>
      <c r="E206" s="13"/>
      <c r="F206" s="13"/>
      <c r="G206" s="13"/>
      <c r="H206" s="24">
        <f>IFERROR(IF(COUNTIFS($H$1:H205,H205)&gt;=VLOOKUP(H205,$A$2:$D$309,4,0),IF(H205=MAX($A$2:$A$317),"",Lista!H205+1),H205),"")</f>
        <v>205</v>
      </c>
      <c r="I206" s="22" t="str">
        <f t="shared" si="78"/>
        <v>3000-000-716S-KZR120</v>
      </c>
      <c r="J206" s="24">
        <f t="shared" si="79"/>
        <v>0</v>
      </c>
      <c r="K206" s="25">
        <f t="shared" si="66"/>
        <v>0</v>
      </c>
      <c r="L206" s="26">
        <f t="shared" si="67"/>
        <v>0</v>
      </c>
      <c r="M206" s="26">
        <f t="shared" si="80"/>
        <v>0</v>
      </c>
      <c r="N206" s="26" t="str">
        <f t="shared" si="81"/>
        <v>SHO</v>
      </c>
      <c r="O206" s="26" t="str">
        <f t="shared" si="82"/>
        <v>IPT</v>
      </c>
      <c r="P206" s="25" t="str">
        <f t="shared" ca="1" si="83"/>
        <v>ND260415_0</v>
      </c>
      <c r="Q206" s="27" t="str">
        <f t="shared" ca="1" si="68"/>
        <v>2026-04-15</v>
      </c>
      <c r="R206" s="26" t="str">
        <f t="shared" si="69"/>
        <v>PLN</v>
      </c>
      <c r="S206" s="23" t="str">
        <f>IF(H206=1,VLOOKUP(COUNTIF($H$2:H206,H206),Specyfikacja!$A$5:$D$99,2,0),IF(H206=2,VLOOKUP(COUNTIF($H$2:H206,H206),Specyfikacja!$A$5:$K$99,9,0),""))</f>
        <v/>
      </c>
      <c r="T206" s="23" t="str">
        <f>IF(H206=1,VLOOKUP(COUNTIF($H$2:H206,H206),Specyfikacja!$A$5:$D$99,3,0),IF(H206=2,VLOOKUP(COUNTIF($H$2:H206,H206),Specyfikacja!$A$5:$K$99,10,0),""))</f>
        <v/>
      </c>
      <c r="U206" s="23" t="str">
        <f>SUBSTITUTE(SUBSTITUTE(IF(H206=1,VLOOKUP(COUNTIF($H$2:H206,H206),Specyfikacja!$A$5:$D$99,4,0),IF(H206=2,VLOOKUP(COUNTIF($H$2:H206,H206),Specyfikacja!$A$5:$K$99,11,0),"")),"Tak","YES"),"Nie","NO")</f>
        <v/>
      </c>
      <c r="W206" s="646" t="str">
        <f t="shared" ca="1" si="74"/>
        <v>=PODSTAW('ZAMÓWIENIE | WYCENA'!C163;"_";'ZAMÓWIENIE | WYCENA'!$F$147;1)</v>
      </c>
      <c r="X206" s="646">
        <f t="shared" ca="1" si="84"/>
        <v>10</v>
      </c>
      <c r="Y206" s="646">
        <f t="shared" ca="1" si="85"/>
        <v>36</v>
      </c>
      <c r="Z206" s="646" t="str">
        <f t="shared" ca="1" si="86"/>
        <v>'ZAMÓWIENIE | WYCENA'!C163</v>
      </c>
      <c r="AA206" s="647">
        <f t="shared" ca="1" si="77"/>
        <v>535.6</v>
      </c>
      <c r="AB206" s="647">
        <f t="shared" ca="1" si="77"/>
        <v>0</v>
      </c>
      <c r="AC206" s="647">
        <f t="shared" ca="1" si="77"/>
        <v>0</v>
      </c>
      <c r="AD206" s="646" t="str">
        <f t="shared" si="75"/>
        <v>3000-000-716S-KZR120</v>
      </c>
      <c r="AE206" s="648">
        <f t="shared" ca="1" si="76"/>
        <v>535.6</v>
      </c>
    </row>
    <row r="207" spans="1:31" s="7" customFormat="1" ht="12">
      <c r="A207" s="23">
        <v>206</v>
      </c>
      <c r="B207" s="23" t="str">
        <f>SUBSTITUTE('ZAMÓWIENIE | WYCENA'!C165,"_",'ZAMÓWIENIE | WYCENA'!$F$147,1)</f>
        <v>3000-000-716S-LWR000</v>
      </c>
      <c r="C207" s="15">
        <f>'ZAMÓWIENIE | WYCENA'!F165</f>
        <v>0</v>
      </c>
      <c r="D207" s="14">
        <v>1</v>
      </c>
      <c r="E207" s="13"/>
      <c r="F207" s="13"/>
      <c r="G207" s="13"/>
      <c r="H207" s="24">
        <f>IFERROR(IF(COUNTIFS($H$1:H206,H206)&gt;=VLOOKUP(H206,$A$2:$D$309,4,0),IF(H206=MAX($A$2:$A$317),"",Lista!H206+1),H206),"")</f>
        <v>206</v>
      </c>
      <c r="I207" s="22" t="str">
        <f t="shared" si="78"/>
        <v>3000-000-716S-LWR000</v>
      </c>
      <c r="J207" s="24">
        <f t="shared" si="79"/>
        <v>0</v>
      </c>
      <c r="K207" s="25">
        <f t="shared" si="66"/>
        <v>0</v>
      </c>
      <c r="L207" s="26">
        <f t="shared" si="67"/>
        <v>0</v>
      </c>
      <c r="M207" s="26">
        <f t="shared" si="80"/>
        <v>0</v>
      </c>
      <c r="N207" s="26" t="str">
        <f t="shared" si="81"/>
        <v>SHO</v>
      </c>
      <c r="O207" s="26" t="str">
        <f t="shared" si="82"/>
        <v>IPT</v>
      </c>
      <c r="P207" s="25" t="str">
        <f t="shared" ca="1" si="83"/>
        <v>ND260415_0</v>
      </c>
      <c r="Q207" s="27" t="str">
        <f t="shared" ca="1" si="68"/>
        <v>2026-04-15</v>
      </c>
      <c r="R207" s="26" t="str">
        <f t="shared" si="69"/>
        <v>PLN</v>
      </c>
      <c r="S207" s="23" t="str">
        <f>IF(H207=1,VLOOKUP(COUNTIF($H$2:H207,H207),Specyfikacja!$A$5:$D$99,2,0),IF(H207=2,VLOOKUP(COUNTIF($H$2:H207,H207),Specyfikacja!$A$5:$K$99,9,0),""))</f>
        <v/>
      </c>
      <c r="T207" s="23" t="str">
        <f>IF(H207=1,VLOOKUP(COUNTIF($H$2:H207,H207),Specyfikacja!$A$5:$D$99,3,0),IF(H207=2,VLOOKUP(COUNTIF($H$2:H207,H207),Specyfikacja!$A$5:$K$99,10,0),""))</f>
        <v/>
      </c>
      <c r="U207" s="23" t="str">
        <f>SUBSTITUTE(SUBSTITUTE(IF(H207=1,VLOOKUP(COUNTIF($H$2:H207,H207),Specyfikacja!$A$5:$D$99,4,0),IF(H207=2,VLOOKUP(COUNTIF($H$2:H207,H207),Specyfikacja!$A$5:$K$99,11,0),"")),"Tak","YES"),"Nie","NO")</f>
        <v/>
      </c>
      <c r="W207" s="646" t="str">
        <f t="shared" ca="1" si="74"/>
        <v>=PODSTAW('ZAMÓWIENIE | WYCENA'!C165;"_";'ZAMÓWIENIE | WYCENA'!$F$147;1)</v>
      </c>
      <c r="X207" s="646">
        <f t="shared" ca="1" si="84"/>
        <v>10</v>
      </c>
      <c r="Y207" s="646">
        <f t="shared" ca="1" si="85"/>
        <v>36</v>
      </c>
      <c r="Z207" s="646" t="str">
        <f t="shared" ca="1" si="86"/>
        <v>'ZAMÓWIENIE | WYCENA'!C165</v>
      </c>
      <c r="AA207" s="647">
        <f t="shared" ca="1" si="77"/>
        <v>114.3</v>
      </c>
      <c r="AB207" s="647">
        <f t="shared" ca="1" si="77"/>
        <v>0</v>
      </c>
      <c r="AC207" s="647">
        <f t="shared" ca="1" si="77"/>
        <v>0</v>
      </c>
      <c r="AD207" s="646" t="str">
        <f t="shared" si="75"/>
        <v>3000-000-716S-LWR000</v>
      </c>
      <c r="AE207" s="648">
        <f t="shared" ca="1" si="76"/>
        <v>114.3</v>
      </c>
    </row>
    <row r="208" spans="1:31" s="7" customFormat="1" ht="12">
      <c r="A208" s="23">
        <v>207</v>
      </c>
      <c r="B208" s="23" t="str">
        <f>SUBSTITUTE('ZAMÓWIENIE | WYCENA'!C166,"_",'ZAMÓWIENIE | WYCENA'!$F$147,1)</f>
        <v>3000-000-716S-LLU000</v>
      </c>
      <c r="C208" s="15">
        <f>'ZAMÓWIENIE | WYCENA'!F166</f>
        <v>0</v>
      </c>
      <c r="D208" s="14">
        <v>1</v>
      </c>
      <c r="E208" s="13"/>
      <c r="F208" s="13"/>
      <c r="G208" s="13"/>
      <c r="H208" s="24">
        <f>IFERROR(IF(COUNTIFS($H$1:H207,H207)&gt;=VLOOKUP(H207,$A$2:$D$309,4,0),IF(H207=MAX($A$2:$A$317),"",Lista!H207+1),H207),"")</f>
        <v>207</v>
      </c>
      <c r="I208" s="22" t="str">
        <f t="shared" si="78"/>
        <v>3000-000-716S-LLU000</v>
      </c>
      <c r="J208" s="24">
        <f t="shared" si="79"/>
        <v>0</v>
      </c>
      <c r="K208" s="25">
        <f t="shared" si="66"/>
        <v>0</v>
      </c>
      <c r="L208" s="26">
        <f t="shared" si="67"/>
        <v>0</v>
      </c>
      <c r="M208" s="26">
        <f t="shared" si="80"/>
        <v>0</v>
      </c>
      <c r="N208" s="26" t="str">
        <f t="shared" si="81"/>
        <v>SHO</v>
      </c>
      <c r="O208" s="26" t="str">
        <f t="shared" si="82"/>
        <v>IPT</v>
      </c>
      <c r="P208" s="25" t="str">
        <f t="shared" ca="1" si="83"/>
        <v>ND260415_0</v>
      </c>
      <c r="Q208" s="27" t="str">
        <f t="shared" ca="1" si="68"/>
        <v>2026-04-15</v>
      </c>
      <c r="R208" s="26" t="str">
        <f t="shared" si="69"/>
        <v>PLN</v>
      </c>
      <c r="S208" s="23" t="str">
        <f>IF(H208=1,VLOOKUP(COUNTIF($H$2:H208,H208),Specyfikacja!$A$5:$D$99,2,0),IF(H208=2,VLOOKUP(COUNTIF($H$2:H208,H208),Specyfikacja!$A$5:$K$99,9,0),""))</f>
        <v/>
      </c>
      <c r="T208" s="23" t="str">
        <f>IF(H208=1,VLOOKUP(COUNTIF($H$2:H208,H208),Specyfikacja!$A$5:$D$99,3,0),IF(H208=2,VLOOKUP(COUNTIF($H$2:H208,H208),Specyfikacja!$A$5:$K$99,10,0),""))</f>
        <v/>
      </c>
      <c r="U208" s="23" t="str">
        <f>SUBSTITUTE(SUBSTITUTE(IF(H208=1,VLOOKUP(COUNTIF($H$2:H208,H208),Specyfikacja!$A$5:$D$99,4,0),IF(H208=2,VLOOKUP(COUNTIF($H$2:H208,H208),Specyfikacja!$A$5:$K$99,11,0),"")),"Tak","YES"),"Nie","NO")</f>
        <v/>
      </c>
      <c r="W208" s="646" t="str">
        <f t="shared" ca="1" si="74"/>
        <v>=PODSTAW('ZAMÓWIENIE | WYCENA'!C166;"_";'ZAMÓWIENIE | WYCENA'!$F$147;1)</v>
      </c>
      <c r="X208" s="646">
        <f t="shared" ca="1" si="84"/>
        <v>10</v>
      </c>
      <c r="Y208" s="646">
        <f t="shared" ca="1" si="85"/>
        <v>36</v>
      </c>
      <c r="Z208" s="646" t="str">
        <f t="shared" ca="1" si="86"/>
        <v>'ZAMÓWIENIE | WYCENA'!C166</v>
      </c>
      <c r="AA208" s="647">
        <f t="shared" ca="1" si="77"/>
        <v>15.6</v>
      </c>
      <c r="AB208" s="647">
        <f t="shared" ca="1" si="77"/>
        <v>0</v>
      </c>
      <c r="AC208" s="647">
        <f t="shared" ca="1" si="77"/>
        <v>0</v>
      </c>
      <c r="AD208" s="646" t="str">
        <f t="shared" si="75"/>
        <v>3000-000-716S-LLU000</v>
      </c>
      <c r="AE208" s="648">
        <f t="shared" ca="1" si="76"/>
        <v>15.6</v>
      </c>
    </row>
    <row r="209" spans="1:31" s="7" customFormat="1" ht="12">
      <c r="A209" s="23">
        <v>208</v>
      </c>
      <c r="B209" s="23" t="str">
        <f>SUBSTITUTE('ZAMÓWIENIE | WYCENA'!C167,"_",'ZAMÓWIENIE | WYCENA'!$F$147,1)</f>
        <v>3000-000-716S-LKU040</v>
      </c>
      <c r="C209" s="15">
        <f>'ZAMÓWIENIE | WYCENA'!F167</f>
        <v>0</v>
      </c>
      <c r="D209" s="14">
        <v>1</v>
      </c>
      <c r="E209" s="13"/>
      <c r="F209" s="13"/>
      <c r="G209" s="13"/>
      <c r="H209" s="24">
        <f>IFERROR(IF(COUNTIFS($H$1:H208,H208)&gt;=VLOOKUP(H208,$A$2:$D$309,4,0),IF(H208=MAX($A$2:$A$317),"",Lista!H208+1),H208),"")</f>
        <v>208</v>
      </c>
      <c r="I209" s="22" t="str">
        <f t="shared" si="78"/>
        <v>3000-000-716S-LKU040</v>
      </c>
      <c r="J209" s="24">
        <f t="shared" si="79"/>
        <v>0</v>
      </c>
      <c r="K209" s="25">
        <f t="shared" ref="K209:K272" si="87">IF(H209=H208,"",IF(H209="","",$F$2))</f>
        <v>0</v>
      </c>
      <c r="L209" s="26">
        <f t="shared" ref="L209:L272" si="88">IF(H209=H208,"",IF(H209="","",$F$3))</f>
        <v>0</v>
      </c>
      <c r="M209" s="26">
        <f t="shared" si="80"/>
        <v>0</v>
      </c>
      <c r="N209" s="26" t="str">
        <f t="shared" si="81"/>
        <v>SHO</v>
      </c>
      <c r="O209" s="26" t="str">
        <f t="shared" si="82"/>
        <v>IPT</v>
      </c>
      <c r="P209" s="25" t="str">
        <f t="shared" ca="1" si="83"/>
        <v>ND260415_0</v>
      </c>
      <c r="Q209" s="27" t="str">
        <f t="shared" ref="Q209:Q272" ca="1" si="89">IF(H209=H208,"",IF(H209="","",$F$8))</f>
        <v>2026-04-15</v>
      </c>
      <c r="R209" s="26" t="str">
        <f t="shared" ref="R209:R272" si="90">IF(H209=H208,"",IF(H209="","",$F$9))</f>
        <v>PLN</v>
      </c>
      <c r="S209" s="23" t="str">
        <f>IF(H209=1,VLOOKUP(COUNTIF($H$2:H209,H209),Specyfikacja!$A$5:$D$99,2,0),IF(H209=2,VLOOKUP(COUNTIF($H$2:H209,H209),Specyfikacja!$A$5:$K$99,9,0),""))</f>
        <v/>
      </c>
      <c r="T209" s="23" t="str">
        <f>IF(H209=1,VLOOKUP(COUNTIF($H$2:H209,H209),Specyfikacja!$A$5:$D$99,3,0),IF(H209=2,VLOOKUP(COUNTIF($H$2:H209,H209),Specyfikacja!$A$5:$K$99,10,0),""))</f>
        <v/>
      </c>
      <c r="U209" s="23" t="str">
        <f>SUBSTITUTE(SUBSTITUTE(IF(H209=1,VLOOKUP(COUNTIF($H$2:H209,H209),Specyfikacja!$A$5:$D$99,4,0),IF(H209=2,VLOOKUP(COUNTIF($H$2:H209,H209),Specyfikacja!$A$5:$K$99,11,0),"")),"Tak","YES"),"Nie","NO")</f>
        <v/>
      </c>
      <c r="W209" s="646" t="str">
        <f t="shared" ca="1" si="74"/>
        <v>=PODSTAW('ZAMÓWIENIE | WYCENA'!C167;"_";'ZAMÓWIENIE | WYCENA'!$F$147;1)</v>
      </c>
      <c r="X209" s="646">
        <f t="shared" ca="1" si="84"/>
        <v>10</v>
      </c>
      <c r="Y209" s="646">
        <f t="shared" ca="1" si="85"/>
        <v>36</v>
      </c>
      <c r="Z209" s="646" t="str">
        <f t="shared" ca="1" si="86"/>
        <v>'ZAMÓWIENIE | WYCENA'!C167</v>
      </c>
      <c r="AA209" s="647">
        <f t="shared" ca="1" si="77"/>
        <v>77.400000000000006</v>
      </c>
      <c r="AB209" s="647">
        <f t="shared" ca="1" si="77"/>
        <v>0</v>
      </c>
      <c r="AC209" s="647">
        <f t="shared" ca="1" si="77"/>
        <v>0</v>
      </c>
      <c r="AD209" s="646" t="str">
        <f t="shared" si="75"/>
        <v>3000-000-716S-LKU040</v>
      </c>
      <c r="AE209" s="648">
        <f t="shared" ca="1" si="76"/>
        <v>77.400000000000006</v>
      </c>
    </row>
    <row r="210" spans="1:31" s="7" customFormat="1" ht="12">
      <c r="A210" s="23">
        <v>209</v>
      </c>
      <c r="B210" s="23" t="str">
        <f>SUBSTITUTE('ZAMÓWIENIE | WYCENA'!C168,"_",'ZAMÓWIENIE | WYCENA'!$F$147,1)</f>
        <v>3000-000-716S-LKU060</v>
      </c>
      <c r="C210" s="15">
        <f>'ZAMÓWIENIE | WYCENA'!F168</f>
        <v>0</v>
      </c>
      <c r="D210" s="14">
        <v>1</v>
      </c>
      <c r="E210" s="13"/>
      <c r="F210" s="13"/>
      <c r="G210" s="13"/>
      <c r="H210" s="24">
        <f>IFERROR(IF(COUNTIFS($H$1:H209,H209)&gt;=VLOOKUP(H209,$A$2:$D$309,4,0),IF(H209=MAX($A$2:$A$317),"",Lista!H209+1),H209),"")</f>
        <v>209</v>
      </c>
      <c r="I210" s="22" t="str">
        <f t="shared" si="78"/>
        <v>3000-000-716S-LKU060</v>
      </c>
      <c r="J210" s="24">
        <f t="shared" si="79"/>
        <v>0</v>
      </c>
      <c r="K210" s="25">
        <f t="shared" si="87"/>
        <v>0</v>
      </c>
      <c r="L210" s="26">
        <f t="shared" si="88"/>
        <v>0</v>
      </c>
      <c r="M210" s="26">
        <f t="shared" si="80"/>
        <v>0</v>
      </c>
      <c r="N210" s="26" t="str">
        <f t="shared" si="81"/>
        <v>SHO</v>
      </c>
      <c r="O210" s="26" t="str">
        <f t="shared" si="82"/>
        <v>IPT</v>
      </c>
      <c r="P210" s="25" t="str">
        <f t="shared" ca="1" si="83"/>
        <v>ND260415_0</v>
      </c>
      <c r="Q210" s="27" t="str">
        <f t="shared" ca="1" si="89"/>
        <v>2026-04-15</v>
      </c>
      <c r="R210" s="26" t="str">
        <f t="shared" si="90"/>
        <v>PLN</v>
      </c>
      <c r="S210" s="23" t="str">
        <f>IF(H210=1,VLOOKUP(COUNTIF($H$2:H210,H210),Specyfikacja!$A$5:$D$99,2,0),IF(H210=2,VLOOKUP(COUNTIF($H$2:H210,H210),Specyfikacja!$A$5:$K$99,9,0),""))</f>
        <v/>
      </c>
      <c r="T210" s="23" t="str">
        <f>IF(H210=1,VLOOKUP(COUNTIF($H$2:H210,H210),Specyfikacja!$A$5:$D$99,3,0),IF(H210=2,VLOOKUP(COUNTIF($H$2:H210,H210),Specyfikacja!$A$5:$K$99,10,0),""))</f>
        <v/>
      </c>
      <c r="U210" s="23" t="str">
        <f>SUBSTITUTE(SUBSTITUTE(IF(H210=1,VLOOKUP(COUNTIF($H$2:H210,H210),Specyfikacja!$A$5:$D$99,4,0),IF(H210=2,VLOOKUP(COUNTIF($H$2:H210,H210),Specyfikacja!$A$5:$K$99,11,0),"")),"Tak","YES"),"Nie","NO")</f>
        <v/>
      </c>
      <c r="W210" s="646" t="str">
        <f t="shared" ca="1" si="74"/>
        <v>=PODSTAW('ZAMÓWIENIE | WYCENA'!C168;"_";'ZAMÓWIENIE | WYCENA'!$F$147;1)</v>
      </c>
      <c r="X210" s="646">
        <f t="shared" ca="1" si="84"/>
        <v>10</v>
      </c>
      <c r="Y210" s="646">
        <f t="shared" ca="1" si="85"/>
        <v>36</v>
      </c>
      <c r="Z210" s="646" t="str">
        <f t="shared" ca="1" si="86"/>
        <v>'ZAMÓWIENIE | WYCENA'!C168</v>
      </c>
      <c r="AA210" s="647">
        <f t="shared" ca="1" si="77"/>
        <v>95.6</v>
      </c>
      <c r="AB210" s="647">
        <f t="shared" ca="1" si="77"/>
        <v>0</v>
      </c>
      <c r="AC210" s="647">
        <f t="shared" ca="1" si="77"/>
        <v>0</v>
      </c>
      <c r="AD210" s="646" t="str">
        <f t="shared" si="75"/>
        <v>3000-000-716S-LKU060</v>
      </c>
      <c r="AE210" s="648">
        <f t="shared" ca="1" si="76"/>
        <v>95.6</v>
      </c>
    </row>
    <row r="211" spans="1:31" s="7" customFormat="1" ht="12">
      <c r="A211" s="23">
        <v>210</v>
      </c>
      <c r="B211" s="23" t="str">
        <f>SUBSTITUTE('ZAMÓWIENIE | WYCENA'!C169,"_",'ZAMÓWIENIE | WYCENA'!$F$147,1)</f>
        <v>3000-000-716S-LKU080</v>
      </c>
      <c r="C211" s="15">
        <f>'ZAMÓWIENIE | WYCENA'!F169</f>
        <v>0</v>
      </c>
      <c r="D211" s="14">
        <v>1</v>
      </c>
      <c r="E211" s="13"/>
      <c r="F211" s="13"/>
      <c r="G211" s="13"/>
      <c r="H211" s="24">
        <f>IFERROR(IF(COUNTIFS($H$1:H210,H210)&gt;=VLOOKUP(H210,$A$2:$D$309,4,0),IF(H210=MAX($A$2:$A$317),"",Lista!H210+1),H210),"")</f>
        <v>210</v>
      </c>
      <c r="I211" s="22" t="str">
        <f t="shared" si="78"/>
        <v>3000-000-716S-LKU080</v>
      </c>
      <c r="J211" s="24">
        <f t="shared" si="79"/>
        <v>0</v>
      </c>
      <c r="K211" s="25">
        <f t="shared" si="87"/>
        <v>0</v>
      </c>
      <c r="L211" s="26">
        <f t="shared" si="88"/>
        <v>0</v>
      </c>
      <c r="M211" s="26">
        <f t="shared" si="80"/>
        <v>0</v>
      </c>
      <c r="N211" s="26" t="str">
        <f t="shared" si="81"/>
        <v>SHO</v>
      </c>
      <c r="O211" s="26" t="str">
        <f t="shared" si="82"/>
        <v>IPT</v>
      </c>
      <c r="P211" s="25" t="str">
        <f t="shared" ca="1" si="83"/>
        <v>ND260415_0</v>
      </c>
      <c r="Q211" s="27" t="str">
        <f t="shared" ca="1" si="89"/>
        <v>2026-04-15</v>
      </c>
      <c r="R211" s="26" t="str">
        <f t="shared" si="90"/>
        <v>PLN</v>
      </c>
      <c r="S211" s="23" t="str">
        <f>IF(H211=1,VLOOKUP(COUNTIF($H$2:H211,H211),Specyfikacja!$A$5:$D$99,2,0),IF(H211=2,VLOOKUP(COUNTIF($H$2:H211,H211),Specyfikacja!$A$5:$K$99,9,0),""))</f>
        <v/>
      </c>
      <c r="T211" s="23" t="str">
        <f>IF(H211=1,VLOOKUP(COUNTIF($H$2:H211,H211),Specyfikacja!$A$5:$D$99,3,0),IF(H211=2,VLOOKUP(COUNTIF($H$2:H211,H211),Specyfikacja!$A$5:$K$99,10,0),""))</f>
        <v/>
      </c>
      <c r="U211" s="23" t="str">
        <f>SUBSTITUTE(SUBSTITUTE(IF(H211=1,VLOOKUP(COUNTIF($H$2:H211,H211),Specyfikacja!$A$5:$D$99,4,0),IF(H211=2,VLOOKUP(COUNTIF($H$2:H211,H211),Specyfikacja!$A$5:$K$99,11,0),"")),"Tak","YES"),"Nie","NO")</f>
        <v/>
      </c>
      <c r="W211" s="646" t="str">
        <f t="shared" ca="1" si="74"/>
        <v>=PODSTAW('ZAMÓWIENIE | WYCENA'!C169;"_";'ZAMÓWIENIE | WYCENA'!$F$147;1)</v>
      </c>
      <c r="X211" s="646">
        <f t="shared" ca="1" si="84"/>
        <v>10</v>
      </c>
      <c r="Y211" s="646">
        <f t="shared" ca="1" si="85"/>
        <v>36</v>
      </c>
      <c r="Z211" s="646" t="str">
        <f t="shared" ca="1" si="86"/>
        <v>'ZAMÓWIENIE | WYCENA'!C169</v>
      </c>
      <c r="AA211" s="647">
        <f t="shared" ca="1" si="77"/>
        <v>121.1</v>
      </c>
      <c r="AB211" s="647">
        <f t="shared" ca="1" si="77"/>
        <v>0</v>
      </c>
      <c r="AC211" s="647">
        <f t="shared" ca="1" si="77"/>
        <v>0</v>
      </c>
      <c r="AD211" s="646" t="str">
        <f t="shared" si="75"/>
        <v>3000-000-716S-LKU080</v>
      </c>
      <c r="AE211" s="648">
        <f t="shared" ca="1" si="76"/>
        <v>121.1</v>
      </c>
    </row>
    <row r="212" spans="1:31" s="7" customFormat="1" ht="12">
      <c r="A212" s="23">
        <v>211</v>
      </c>
      <c r="B212" s="23" t="str">
        <f>SUBSTITUTE('ZAMÓWIENIE | WYCENA'!C170,"_",'ZAMÓWIENIE | WYCENA'!$F$147,1)</f>
        <v>3000-000-716S-LKU120</v>
      </c>
      <c r="C212" s="15">
        <f>'ZAMÓWIENIE | WYCENA'!F170</f>
        <v>0</v>
      </c>
      <c r="D212" s="14">
        <v>1</v>
      </c>
      <c r="E212" s="13"/>
      <c r="F212" s="13"/>
      <c r="G212" s="13"/>
      <c r="H212" s="24">
        <f>IFERROR(IF(COUNTIFS($H$1:H211,H211)&gt;=VLOOKUP(H211,$A$2:$D$309,4,0),IF(H211=MAX($A$2:$A$317),"",Lista!H211+1),H211),"")</f>
        <v>211</v>
      </c>
      <c r="I212" s="22" t="str">
        <f t="shared" si="78"/>
        <v>3000-000-716S-LKU120</v>
      </c>
      <c r="J212" s="24">
        <f t="shared" si="79"/>
        <v>0</v>
      </c>
      <c r="K212" s="25">
        <f t="shared" si="87"/>
        <v>0</v>
      </c>
      <c r="L212" s="26">
        <f t="shared" si="88"/>
        <v>0</v>
      </c>
      <c r="M212" s="26">
        <f t="shared" si="80"/>
        <v>0</v>
      </c>
      <c r="N212" s="26" t="str">
        <f t="shared" si="81"/>
        <v>SHO</v>
      </c>
      <c r="O212" s="26" t="str">
        <f t="shared" si="82"/>
        <v>IPT</v>
      </c>
      <c r="P212" s="25" t="str">
        <f t="shared" ca="1" si="83"/>
        <v>ND260415_0</v>
      </c>
      <c r="Q212" s="27" t="str">
        <f t="shared" ca="1" si="89"/>
        <v>2026-04-15</v>
      </c>
      <c r="R212" s="26" t="str">
        <f t="shared" si="90"/>
        <v>PLN</v>
      </c>
      <c r="S212" s="23" t="str">
        <f>IF(H212=1,VLOOKUP(COUNTIF($H$2:H212,H212),Specyfikacja!$A$5:$D$99,2,0),IF(H212=2,VLOOKUP(COUNTIF($H$2:H212,H212),Specyfikacja!$A$5:$K$99,9,0),""))</f>
        <v/>
      </c>
      <c r="T212" s="23" t="str">
        <f>IF(H212=1,VLOOKUP(COUNTIF($H$2:H212,H212),Specyfikacja!$A$5:$D$99,3,0),IF(H212=2,VLOOKUP(COUNTIF($H$2:H212,H212),Specyfikacja!$A$5:$K$99,10,0),""))</f>
        <v/>
      </c>
      <c r="U212" s="23" t="str">
        <f>SUBSTITUTE(SUBSTITUTE(IF(H212=1,VLOOKUP(COUNTIF($H$2:H212,H212),Specyfikacja!$A$5:$D$99,4,0),IF(H212=2,VLOOKUP(COUNTIF($H$2:H212,H212),Specyfikacja!$A$5:$K$99,11,0),"")),"Tak","YES"),"Nie","NO")</f>
        <v/>
      </c>
      <c r="W212" s="646" t="str">
        <f t="shared" ca="1" si="74"/>
        <v>=PODSTAW('ZAMÓWIENIE | WYCENA'!C170;"_";'ZAMÓWIENIE | WYCENA'!$F$147;1)</v>
      </c>
      <c r="X212" s="646">
        <f t="shared" ca="1" si="84"/>
        <v>10</v>
      </c>
      <c r="Y212" s="646">
        <f t="shared" ca="1" si="85"/>
        <v>36</v>
      </c>
      <c r="Z212" s="646" t="str">
        <f t="shared" ca="1" si="86"/>
        <v>'ZAMÓWIENIE | WYCENA'!C170</v>
      </c>
      <c r="AA212" s="647">
        <f t="shared" ca="1" si="77"/>
        <v>168.3</v>
      </c>
      <c r="AB212" s="647">
        <f t="shared" ca="1" si="77"/>
        <v>0</v>
      </c>
      <c r="AC212" s="647">
        <f t="shared" ca="1" si="77"/>
        <v>0</v>
      </c>
      <c r="AD212" s="646" t="str">
        <f t="shared" si="75"/>
        <v>3000-000-716S-LKU120</v>
      </c>
      <c r="AE212" s="648">
        <f t="shared" ca="1" si="76"/>
        <v>168.3</v>
      </c>
    </row>
    <row r="213" spans="1:31" s="7" customFormat="1" ht="12">
      <c r="A213" s="23">
        <v>212</v>
      </c>
      <c r="B213" s="23" t="str">
        <f>SUBSTITUTE('ZAMÓWIENIE | WYCENA'!C171,"_",'ZAMÓWIENIE | WYCENA'!$F$147,1)</f>
        <v>3000-000-716S-LKU200</v>
      </c>
      <c r="C213" s="15">
        <f>'ZAMÓWIENIE | WYCENA'!F171</f>
        <v>0</v>
      </c>
      <c r="D213" s="14">
        <v>1</v>
      </c>
      <c r="E213" s="13"/>
      <c r="F213" s="13"/>
      <c r="G213" s="13"/>
      <c r="H213" s="24">
        <f>IFERROR(IF(COUNTIFS($H$1:H212,H212)&gt;=VLOOKUP(H212,$A$2:$D$309,4,0),IF(H212=MAX($A$2:$A$317),"",Lista!H212+1),H212),"")</f>
        <v>212</v>
      </c>
      <c r="I213" s="22" t="str">
        <f t="shared" si="78"/>
        <v>3000-000-716S-LKU200</v>
      </c>
      <c r="J213" s="24">
        <f t="shared" si="79"/>
        <v>0</v>
      </c>
      <c r="K213" s="25">
        <f t="shared" si="87"/>
        <v>0</v>
      </c>
      <c r="L213" s="26">
        <f t="shared" si="88"/>
        <v>0</v>
      </c>
      <c r="M213" s="26">
        <f t="shared" si="80"/>
        <v>0</v>
      </c>
      <c r="N213" s="26" t="str">
        <f t="shared" si="81"/>
        <v>SHO</v>
      </c>
      <c r="O213" s="26" t="str">
        <f t="shared" si="82"/>
        <v>IPT</v>
      </c>
      <c r="P213" s="25" t="str">
        <f t="shared" ca="1" si="83"/>
        <v>ND260415_0</v>
      </c>
      <c r="Q213" s="27" t="str">
        <f t="shared" ca="1" si="89"/>
        <v>2026-04-15</v>
      </c>
      <c r="R213" s="26" t="str">
        <f t="shared" si="90"/>
        <v>PLN</v>
      </c>
      <c r="S213" s="23" t="str">
        <f>IF(H213=1,VLOOKUP(COUNTIF($H$2:H213,H213),Specyfikacja!$A$5:$D$99,2,0),IF(H213=2,VLOOKUP(COUNTIF($H$2:H213,H213),Specyfikacja!$A$5:$K$99,9,0),""))</f>
        <v/>
      </c>
      <c r="T213" s="23" t="str">
        <f>IF(H213=1,VLOOKUP(COUNTIF($H$2:H213,H213),Specyfikacja!$A$5:$D$99,3,0),IF(H213=2,VLOOKUP(COUNTIF($H$2:H213,H213),Specyfikacja!$A$5:$K$99,10,0),""))</f>
        <v/>
      </c>
      <c r="U213" s="23" t="str">
        <f>SUBSTITUTE(SUBSTITUTE(IF(H213=1,VLOOKUP(COUNTIF($H$2:H213,H213),Specyfikacja!$A$5:$D$99,4,0),IF(H213=2,VLOOKUP(COUNTIF($H$2:H213,H213),Specyfikacja!$A$5:$K$99,11,0),"")),"Tak","YES"),"Nie","NO")</f>
        <v/>
      </c>
      <c r="W213" s="646" t="str">
        <f t="shared" ca="1" si="74"/>
        <v>=PODSTAW('ZAMÓWIENIE | WYCENA'!C171;"_";'ZAMÓWIENIE | WYCENA'!$F$147;1)</v>
      </c>
      <c r="X213" s="646">
        <f t="shared" ca="1" si="84"/>
        <v>10</v>
      </c>
      <c r="Y213" s="646">
        <f t="shared" ca="1" si="85"/>
        <v>36</v>
      </c>
      <c r="Z213" s="646" t="str">
        <f t="shared" ca="1" si="86"/>
        <v>'ZAMÓWIENIE | WYCENA'!C171</v>
      </c>
      <c r="AA213" s="647">
        <f t="shared" ca="1" si="77"/>
        <v>297.3</v>
      </c>
      <c r="AB213" s="647">
        <f t="shared" ca="1" si="77"/>
        <v>0</v>
      </c>
      <c r="AC213" s="647">
        <f t="shared" ca="1" si="77"/>
        <v>0</v>
      </c>
      <c r="AD213" s="646" t="str">
        <f t="shared" si="75"/>
        <v>3000-000-716S-LKU200</v>
      </c>
      <c r="AE213" s="648">
        <f t="shared" ca="1" si="76"/>
        <v>297.3</v>
      </c>
    </row>
    <row r="214" spans="1:31" s="7" customFormat="1" ht="12">
      <c r="A214" s="23">
        <v>213</v>
      </c>
      <c r="B214" s="23" t="str">
        <f>SUBSTITUTE('ZAMÓWIENIE | WYCENA'!C148,"_",'ZAMÓWIENIE | WYCENA'!$H$147,1)</f>
        <v>3000-000-905S-ZZR240</v>
      </c>
      <c r="C214" s="15">
        <f>'ZAMÓWIENIE | WYCENA'!H162</f>
        <v>0</v>
      </c>
      <c r="D214" s="14">
        <v>1</v>
      </c>
      <c r="E214" s="13"/>
      <c r="F214" s="13"/>
      <c r="G214" s="13"/>
      <c r="H214" s="24">
        <f>IFERROR(IF(COUNTIFS($H$1:H213,H213)&gt;=VLOOKUP(H213,$A$2:$D$309,4,0),IF(H213=MAX($A$2:$A$317),"",Lista!H213+1),H213),"")</f>
        <v>213</v>
      </c>
      <c r="I214" s="22" t="str">
        <f t="shared" si="78"/>
        <v>3000-000-905S-ZZR240</v>
      </c>
      <c r="J214" s="24">
        <f t="shared" si="79"/>
        <v>0</v>
      </c>
      <c r="K214" s="25">
        <f t="shared" si="87"/>
        <v>0</v>
      </c>
      <c r="L214" s="26">
        <f t="shared" si="88"/>
        <v>0</v>
      </c>
      <c r="M214" s="26">
        <f t="shared" si="80"/>
        <v>0</v>
      </c>
      <c r="N214" s="26" t="str">
        <f t="shared" si="81"/>
        <v>SHO</v>
      </c>
      <c r="O214" s="26" t="str">
        <f t="shared" si="82"/>
        <v>IPT</v>
      </c>
      <c r="P214" s="25" t="str">
        <f t="shared" ca="1" si="83"/>
        <v>ND260415_0</v>
      </c>
      <c r="Q214" s="27" t="str">
        <f t="shared" ca="1" si="89"/>
        <v>2026-04-15</v>
      </c>
      <c r="R214" s="26" t="str">
        <f t="shared" si="90"/>
        <v>PLN</v>
      </c>
      <c r="S214" s="23" t="str">
        <f>IF(H214=1,VLOOKUP(COUNTIF($H$2:H214,H214),Specyfikacja!$A$5:$D$99,2,0),IF(H214=2,VLOOKUP(COUNTIF($H$2:H214,H214),Specyfikacja!$A$5:$K$99,9,0),""))</f>
        <v/>
      </c>
      <c r="T214" s="23" t="str">
        <f>IF(H214=1,VLOOKUP(COUNTIF($H$2:H214,H214),Specyfikacja!$A$5:$D$99,3,0),IF(H214=2,VLOOKUP(COUNTIF($H$2:H214,H214),Specyfikacja!$A$5:$K$99,10,0),""))</f>
        <v/>
      </c>
      <c r="U214" s="23" t="str">
        <f>SUBSTITUTE(SUBSTITUTE(IF(H214=1,VLOOKUP(COUNTIF($H$2:H214,H214),Specyfikacja!$A$5:$D$99,4,0),IF(H214=2,VLOOKUP(COUNTIF($H$2:H214,H214),Specyfikacja!$A$5:$K$99,11,0),"")),"Tak","YES"),"Nie","NO")</f>
        <v/>
      </c>
      <c r="W214" s="646" t="str">
        <f t="shared" ca="1" si="74"/>
        <v>=PODSTAW('ZAMÓWIENIE | WYCENA'!C148;"_";'ZAMÓWIENIE | WYCENA'!$H$147;1)</v>
      </c>
      <c r="X214" s="646">
        <f t="shared" ca="1" si="84"/>
        <v>10</v>
      </c>
      <c r="Y214" s="646">
        <f t="shared" ca="1" si="85"/>
        <v>36</v>
      </c>
      <c r="Z214" s="646" t="str">
        <f t="shared" ca="1" si="86"/>
        <v>'ZAMÓWIENIE | WYCENA'!C148</v>
      </c>
      <c r="AA214" s="647">
        <f t="shared" ca="1" si="77"/>
        <v>663.2</v>
      </c>
      <c r="AB214" s="647">
        <f t="shared" ca="1" si="77"/>
        <v>0</v>
      </c>
      <c r="AC214" s="647">
        <f t="shared" ca="1" si="77"/>
        <v>0</v>
      </c>
      <c r="AD214" s="646" t="str">
        <f t="shared" si="75"/>
        <v>3000-000-905S-ZZR240</v>
      </c>
      <c r="AE214" s="648">
        <f t="shared" ca="1" si="76"/>
        <v>663.2</v>
      </c>
    </row>
    <row r="215" spans="1:31" s="7" customFormat="1" ht="12">
      <c r="A215" s="23">
        <v>214</v>
      </c>
      <c r="B215" s="23" t="str">
        <f>SUBSTITUTE('ZAMÓWIENIE | WYCENA'!C149,"_",'ZAMÓWIENIE | WYCENA'!$H$147,1)</f>
        <v>3000-000-905S-ZZR360</v>
      </c>
      <c r="C215" s="15">
        <f>'ZAMÓWIENIE | WYCENA'!H163</f>
        <v>0</v>
      </c>
      <c r="D215" s="14">
        <v>1</v>
      </c>
      <c r="E215" s="13"/>
      <c r="F215" s="13"/>
      <c r="G215" s="13"/>
      <c r="H215" s="24">
        <f>IFERROR(IF(COUNTIFS($H$1:H214,H214)&gt;=VLOOKUP(H214,$A$2:$D$309,4,0),IF(H214=MAX($A$2:$A$317),"",Lista!H214+1),H214),"")</f>
        <v>214</v>
      </c>
      <c r="I215" s="22" t="str">
        <f t="shared" si="78"/>
        <v>3000-000-905S-ZZR360</v>
      </c>
      <c r="J215" s="24">
        <f t="shared" si="79"/>
        <v>0</v>
      </c>
      <c r="K215" s="25">
        <f t="shared" si="87"/>
        <v>0</v>
      </c>
      <c r="L215" s="26">
        <f t="shared" si="88"/>
        <v>0</v>
      </c>
      <c r="M215" s="26">
        <f t="shared" si="80"/>
        <v>0</v>
      </c>
      <c r="N215" s="26" t="str">
        <f t="shared" si="81"/>
        <v>SHO</v>
      </c>
      <c r="O215" s="26" t="str">
        <f t="shared" si="82"/>
        <v>IPT</v>
      </c>
      <c r="P215" s="25" t="str">
        <f t="shared" ca="1" si="83"/>
        <v>ND260415_0</v>
      </c>
      <c r="Q215" s="27" t="str">
        <f t="shared" ca="1" si="89"/>
        <v>2026-04-15</v>
      </c>
      <c r="R215" s="26" t="str">
        <f t="shared" si="90"/>
        <v>PLN</v>
      </c>
      <c r="S215" s="23" t="str">
        <f>IF(H215=1,VLOOKUP(COUNTIF($H$2:H215,H215),Specyfikacja!$A$5:$D$99,2,0),IF(H215=2,VLOOKUP(COUNTIF($H$2:H215,H215),Specyfikacja!$A$5:$K$99,9,0),""))</f>
        <v/>
      </c>
      <c r="T215" s="23" t="str">
        <f>IF(H215=1,VLOOKUP(COUNTIF($H$2:H215,H215),Specyfikacja!$A$5:$D$99,3,0),IF(H215=2,VLOOKUP(COUNTIF($H$2:H215,H215),Specyfikacja!$A$5:$K$99,10,0),""))</f>
        <v/>
      </c>
      <c r="U215" s="23" t="str">
        <f>SUBSTITUTE(SUBSTITUTE(IF(H215=1,VLOOKUP(COUNTIF($H$2:H215,H215),Specyfikacja!$A$5:$D$99,4,0),IF(H215=2,VLOOKUP(COUNTIF($H$2:H215,H215),Specyfikacja!$A$5:$K$99,11,0),"")),"Tak","YES"),"Nie","NO")</f>
        <v/>
      </c>
      <c r="W215" s="646" t="str">
        <f t="shared" ca="1" si="74"/>
        <v>=PODSTAW('ZAMÓWIENIE | WYCENA'!C149;"_";'ZAMÓWIENIE | WYCENA'!$H$147;1)</v>
      </c>
      <c r="X215" s="646">
        <f t="shared" ca="1" si="84"/>
        <v>10</v>
      </c>
      <c r="Y215" s="646">
        <f t="shared" ca="1" si="85"/>
        <v>36</v>
      </c>
      <c r="Z215" s="646" t="str">
        <f t="shared" ca="1" si="86"/>
        <v>'ZAMÓWIENIE | WYCENA'!C149</v>
      </c>
      <c r="AA215" s="647">
        <f t="shared" ca="1" si="77"/>
        <v>918.8</v>
      </c>
      <c r="AB215" s="647">
        <f t="shared" ca="1" si="77"/>
        <v>0</v>
      </c>
      <c r="AC215" s="647">
        <f t="shared" ca="1" si="77"/>
        <v>0</v>
      </c>
      <c r="AD215" s="646" t="str">
        <f t="shared" si="75"/>
        <v>3000-000-905S-ZZR360</v>
      </c>
      <c r="AE215" s="648">
        <f t="shared" ca="1" si="76"/>
        <v>918.8</v>
      </c>
    </row>
    <row r="216" spans="1:31" s="7" customFormat="1" ht="12">
      <c r="A216" s="23">
        <v>215</v>
      </c>
      <c r="B216" s="23" t="str">
        <f>SUBSTITUTE('ZAMÓWIENIE | WYCENA'!C151,"_",'ZAMÓWIENIE | WYCENA'!$H$147,1)</f>
        <v>3000-000-905S-ZWR000</v>
      </c>
      <c r="C216" s="15">
        <f>'ZAMÓWIENIE | WYCENA'!H165</f>
        <v>0</v>
      </c>
      <c r="D216" s="14">
        <v>1</v>
      </c>
      <c r="E216" s="13"/>
      <c r="F216" s="13"/>
      <c r="G216" s="13"/>
      <c r="H216" s="24">
        <f>IFERROR(IF(COUNTIFS($H$1:H215,H215)&gt;=VLOOKUP(H215,$A$2:$D$309,4,0),IF(H215=MAX($A$2:$A$317),"",Lista!H215+1),H215),"")</f>
        <v>215</v>
      </c>
      <c r="I216" s="22" t="str">
        <f t="shared" si="78"/>
        <v>3000-000-905S-ZWR000</v>
      </c>
      <c r="J216" s="24">
        <f t="shared" si="79"/>
        <v>0</v>
      </c>
      <c r="K216" s="25">
        <f t="shared" si="87"/>
        <v>0</v>
      </c>
      <c r="L216" s="26">
        <f t="shared" si="88"/>
        <v>0</v>
      </c>
      <c r="M216" s="26">
        <f t="shared" si="80"/>
        <v>0</v>
      </c>
      <c r="N216" s="26" t="str">
        <f t="shared" si="81"/>
        <v>SHO</v>
      </c>
      <c r="O216" s="26" t="str">
        <f t="shared" si="82"/>
        <v>IPT</v>
      </c>
      <c r="P216" s="25" t="str">
        <f t="shared" ca="1" si="83"/>
        <v>ND260415_0</v>
      </c>
      <c r="Q216" s="27" t="str">
        <f t="shared" ca="1" si="89"/>
        <v>2026-04-15</v>
      </c>
      <c r="R216" s="26" t="str">
        <f t="shared" si="90"/>
        <v>PLN</v>
      </c>
      <c r="S216" s="23" t="str">
        <f>IF(H216=1,VLOOKUP(COUNTIF($H$2:H216,H216),Specyfikacja!$A$5:$D$99,2,0),IF(H216=2,VLOOKUP(COUNTIF($H$2:H216,H216),Specyfikacja!$A$5:$K$99,9,0),""))</f>
        <v/>
      </c>
      <c r="T216" s="23" t="str">
        <f>IF(H216=1,VLOOKUP(COUNTIF($H$2:H216,H216),Specyfikacja!$A$5:$D$99,3,0),IF(H216=2,VLOOKUP(COUNTIF($H$2:H216,H216),Specyfikacja!$A$5:$K$99,10,0),""))</f>
        <v/>
      </c>
      <c r="U216" s="23" t="str">
        <f>SUBSTITUTE(SUBSTITUTE(IF(H216=1,VLOOKUP(COUNTIF($H$2:H216,H216),Specyfikacja!$A$5:$D$99,4,0),IF(H216=2,VLOOKUP(COUNTIF($H$2:H216,H216),Specyfikacja!$A$5:$K$99,11,0),"")),"Tak","YES"),"Nie","NO")</f>
        <v/>
      </c>
      <c r="W216" s="646" t="str">
        <f t="shared" ca="1" si="74"/>
        <v>=PODSTAW('ZAMÓWIENIE | WYCENA'!C151;"_";'ZAMÓWIENIE | WYCENA'!$H$147;1)</v>
      </c>
      <c r="X216" s="646">
        <f t="shared" ca="1" si="84"/>
        <v>10</v>
      </c>
      <c r="Y216" s="646">
        <f t="shared" ca="1" si="85"/>
        <v>36</v>
      </c>
      <c r="Z216" s="646" t="str">
        <f t="shared" ca="1" si="86"/>
        <v>'ZAMÓWIENIE | WYCENA'!C151</v>
      </c>
      <c r="AA216" s="647">
        <f t="shared" ca="1" si="77"/>
        <v>68.8</v>
      </c>
      <c r="AB216" s="647">
        <f t="shared" ca="1" si="77"/>
        <v>0</v>
      </c>
      <c r="AC216" s="647">
        <f t="shared" ca="1" si="77"/>
        <v>0</v>
      </c>
      <c r="AD216" s="646" t="str">
        <f t="shared" si="75"/>
        <v>3000-000-905S-ZWR000</v>
      </c>
      <c r="AE216" s="648">
        <f t="shared" ca="1" si="76"/>
        <v>68.8</v>
      </c>
    </row>
    <row r="217" spans="1:31" s="7" customFormat="1" ht="12">
      <c r="A217" s="23">
        <v>216</v>
      </c>
      <c r="B217" s="23" t="str">
        <f>SUBSTITUTE('ZAMÓWIENIE | WYCENA'!C152,"_",'ZAMÓWIENIE | WYCENA'!$H$147,1)</f>
        <v>3000-000-905S-ZRU120</v>
      </c>
      <c r="C217" s="15">
        <f>'ZAMÓWIENIE | WYCENA'!H166</f>
        <v>0</v>
      </c>
      <c r="D217" s="14">
        <v>1</v>
      </c>
      <c r="E217" s="13"/>
      <c r="F217" s="13"/>
      <c r="G217" s="13"/>
      <c r="H217" s="24">
        <f>IFERROR(IF(COUNTIFS($H$1:H216,H216)&gt;=VLOOKUP(H216,$A$2:$D$309,4,0),IF(H216=MAX($A$2:$A$317),"",Lista!H216+1),H216),"")</f>
        <v>216</v>
      </c>
      <c r="I217" s="22" t="str">
        <f t="shared" si="78"/>
        <v>3000-000-905S-ZRU120</v>
      </c>
      <c r="J217" s="24">
        <f t="shared" si="79"/>
        <v>0</v>
      </c>
      <c r="K217" s="25">
        <f t="shared" si="87"/>
        <v>0</v>
      </c>
      <c r="L217" s="26">
        <f t="shared" si="88"/>
        <v>0</v>
      </c>
      <c r="M217" s="26">
        <f t="shared" si="80"/>
        <v>0</v>
      </c>
      <c r="N217" s="26" t="str">
        <f t="shared" si="81"/>
        <v>SHO</v>
      </c>
      <c r="O217" s="26" t="str">
        <f t="shared" si="82"/>
        <v>IPT</v>
      </c>
      <c r="P217" s="25" t="str">
        <f t="shared" ca="1" si="83"/>
        <v>ND260415_0</v>
      </c>
      <c r="Q217" s="27" t="str">
        <f t="shared" ca="1" si="89"/>
        <v>2026-04-15</v>
      </c>
      <c r="R217" s="26" t="str">
        <f t="shared" si="90"/>
        <v>PLN</v>
      </c>
      <c r="S217" s="23" t="str">
        <f>IF(H217=1,VLOOKUP(COUNTIF($H$2:H217,H217),Specyfikacja!$A$5:$D$99,2,0),IF(H217=2,VLOOKUP(COUNTIF($H$2:H217,H217),Specyfikacja!$A$5:$K$99,9,0),""))</f>
        <v/>
      </c>
      <c r="T217" s="23" t="str">
        <f>IF(H217=1,VLOOKUP(COUNTIF($H$2:H217,H217),Specyfikacja!$A$5:$D$99,3,0),IF(H217=2,VLOOKUP(COUNTIF($H$2:H217,H217),Specyfikacja!$A$5:$K$99,10,0),""))</f>
        <v/>
      </c>
      <c r="U217" s="23" t="str">
        <f>SUBSTITUTE(SUBSTITUTE(IF(H217=1,VLOOKUP(COUNTIF($H$2:H217,H217),Specyfikacja!$A$5:$D$99,4,0),IF(H217=2,VLOOKUP(COUNTIF($H$2:H217,H217),Specyfikacja!$A$5:$K$99,11,0),"")),"Tak","YES"),"Nie","NO")</f>
        <v/>
      </c>
      <c r="W217" s="646" t="str">
        <f t="shared" ca="1" si="74"/>
        <v>=PODSTAW('ZAMÓWIENIE | WYCENA'!C152;"_";'ZAMÓWIENIE | WYCENA'!$H$147;1)</v>
      </c>
      <c r="X217" s="646">
        <f t="shared" ca="1" si="84"/>
        <v>10</v>
      </c>
      <c r="Y217" s="646">
        <f t="shared" ca="1" si="85"/>
        <v>36</v>
      </c>
      <c r="Z217" s="646" t="str">
        <f t="shared" ca="1" si="86"/>
        <v>'ZAMÓWIENIE | WYCENA'!C152</v>
      </c>
      <c r="AA217" s="647">
        <f t="shared" ca="1" si="77"/>
        <v>52.2</v>
      </c>
      <c r="AB217" s="647">
        <f t="shared" ca="1" si="77"/>
        <v>0</v>
      </c>
      <c r="AC217" s="647">
        <f t="shared" ca="1" si="77"/>
        <v>0</v>
      </c>
      <c r="AD217" s="646" t="str">
        <f t="shared" si="75"/>
        <v>3000-000-905S-ZRU120</v>
      </c>
      <c r="AE217" s="648">
        <f t="shared" ca="1" si="76"/>
        <v>52.2</v>
      </c>
    </row>
    <row r="218" spans="1:31" s="7" customFormat="1" ht="12">
      <c r="A218" s="23">
        <v>217</v>
      </c>
      <c r="B218" s="23" t="str">
        <f>SUBSTITUTE('ZAMÓWIENIE | WYCENA'!C153,"_",'ZAMÓWIENIE | WYCENA'!$H$147,1)</f>
        <v>3000-000-905S-ZRU200</v>
      </c>
      <c r="C218" s="15">
        <f>'ZAMÓWIENIE | WYCENA'!H167</f>
        <v>0</v>
      </c>
      <c r="D218" s="14">
        <v>1</v>
      </c>
      <c r="E218" s="13"/>
      <c r="F218" s="13"/>
      <c r="G218" s="13"/>
      <c r="H218" s="24">
        <f>IFERROR(IF(COUNTIFS($H$1:H217,H217)&gt;=VLOOKUP(H217,$A$2:$D$309,4,0),IF(H217=MAX($A$2:$A$317),"",Lista!H217+1),H217),"")</f>
        <v>217</v>
      </c>
      <c r="I218" s="22" t="str">
        <f t="shared" si="78"/>
        <v>3000-000-905S-ZRU200</v>
      </c>
      <c r="J218" s="24">
        <f t="shared" si="79"/>
        <v>0</v>
      </c>
      <c r="K218" s="25">
        <f t="shared" si="87"/>
        <v>0</v>
      </c>
      <c r="L218" s="26">
        <f t="shared" si="88"/>
        <v>0</v>
      </c>
      <c r="M218" s="26">
        <f t="shared" si="80"/>
        <v>0</v>
      </c>
      <c r="N218" s="26" t="str">
        <f t="shared" si="81"/>
        <v>SHO</v>
      </c>
      <c r="O218" s="26" t="str">
        <f t="shared" si="82"/>
        <v>IPT</v>
      </c>
      <c r="P218" s="25" t="str">
        <f t="shared" ca="1" si="83"/>
        <v>ND260415_0</v>
      </c>
      <c r="Q218" s="27" t="str">
        <f t="shared" ca="1" si="89"/>
        <v>2026-04-15</v>
      </c>
      <c r="R218" s="26" t="str">
        <f t="shared" si="90"/>
        <v>PLN</v>
      </c>
      <c r="S218" s="23" t="str">
        <f>IF(H218=1,VLOOKUP(COUNTIF($H$2:H218,H218),Specyfikacja!$A$5:$D$99,2,0),IF(H218=2,VLOOKUP(COUNTIF($H$2:H218,H218),Specyfikacja!$A$5:$K$99,9,0),""))</f>
        <v/>
      </c>
      <c r="T218" s="23" t="str">
        <f>IF(H218=1,VLOOKUP(COUNTIF($H$2:H218,H218),Specyfikacja!$A$5:$D$99,3,0),IF(H218=2,VLOOKUP(COUNTIF($H$2:H218,H218),Specyfikacja!$A$5:$K$99,10,0),""))</f>
        <v/>
      </c>
      <c r="U218" s="23" t="str">
        <f>SUBSTITUTE(SUBSTITUTE(IF(H218=1,VLOOKUP(COUNTIF($H$2:H218,H218),Specyfikacja!$A$5:$D$99,4,0),IF(H218=2,VLOOKUP(COUNTIF($H$2:H218,H218),Specyfikacja!$A$5:$K$99,11,0),"")),"Tak","YES"),"Nie","NO")</f>
        <v/>
      </c>
      <c r="W218" s="646" t="str">
        <f t="shared" ca="1" si="74"/>
        <v>=PODSTAW('ZAMÓWIENIE | WYCENA'!C153;"_";'ZAMÓWIENIE | WYCENA'!$H$147;1)</v>
      </c>
      <c r="X218" s="646">
        <f t="shared" ca="1" si="84"/>
        <v>10</v>
      </c>
      <c r="Y218" s="646">
        <f t="shared" ca="1" si="85"/>
        <v>36</v>
      </c>
      <c r="Z218" s="646" t="str">
        <f t="shared" ca="1" si="86"/>
        <v>'ZAMÓWIENIE | WYCENA'!C153</v>
      </c>
      <c r="AA218" s="647">
        <f t="shared" ca="1" si="77"/>
        <v>78.7</v>
      </c>
      <c r="AB218" s="647">
        <f t="shared" ca="1" si="77"/>
        <v>0</v>
      </c>
      <c r="AC218" s="647">
        <f t="shared" ca="1" si="77"/>
        <v>0</v>
      </c>
      <c r="AD218" s="646" t="str">
        <f t="shared" si="75"/>
        <v>3000-000-905S-ZRU200</v>
      </c>
      <c r="AE218" s="648">
        <f t="shared" ca="1" si="76"/>
        <v>78.7</v>
      </c>
    </row>
    <row r="219" spans="1:31" s="7" customFormat="1" ht="12">
      <c r="A219" s="23">
        <v>218</v>
      </c>
      <c r="B219" s="23" t="str">
        <f>SUBSTITUTE('ZAMÓWIENIE | WYCENA'!C154,"_",'ZAMÓWIENIE | WYCENA'!$H$147,1)</f>
        <v>3000-000-905S-ZBU000</v>
      </c>
      <c r="C219" s="15">
        <f>'ZAMÓWIENIE | WYCENA'!H168</f>
        <v>0</v>
      </c>
      <c r="D219" s="14">
        <v>1</v>
      </c>
      <c r="E219" s="13"/>
      <c r="F219" s="13"/>
      <c r="G219" s="13"/>
      <c r="H219" s="24">
        <f>IFERROR(IF(COUNTIFS($H$1:H218,H218)&gt;=VLOOKUP(H218,$A$2:$D$309,4,0),IF(H218=MAX($A$2:$A$317),"",Lista!H218+1),H218),"")</f>
        <v>218</v>
      </c>
      <c r="I219" s="22" t="str">
        <f t="shared" si="78"/>
        <v>3000-000-905S-ZBU000</v>
      </c>
      <c r="J219" s="24">
        <f t="shared" si="79"/>
        <v>0</v>
      </c>
      <c r="K219" s="25">
        <f t="shared" si="87"/>
        <v>0</v>
      </c>
      <c r="L219" s="26">
        <f t="shared" si="88"/>
        <v>0</v>
      </c>
      <c r="M219" s="26">
        <f t="shared" si="80"/>
        <v>0</v>
      </c>
      <c r="N219" s="26" t="str">
        <f t="shared" si="81"/>
        <v>SHO</v>
      </c>
      <c r="O219" s="26" t="str">
        <f t="shared" si="82"/>
        <v>IPT</v>
      </c>
      <c r="P219" s="25" t="str">
        <f t="shared" ca="1" si="83"/>
        <v>ND260415_0</v>
      </c>
      <c r="Q219" s="27" t="str">
        <f t="shared" ca="1" si="89"/>
        <v>2026-04-15</v>
      </c>
      <c r="R219" s="26" t="str">
        <f t="shared" si="90"/>
        <v>PLN</v>
      </c>
      <c r="S219" s="23" t="str">
        <f>IF(H219=1,VLOOKUP(COUNTIF($H$2:H219,H219),Specyfikacja!$A$5:$D$99,2,0),IF(H219=2,VLOOKUP(COUNTIF($H$2:H219,H219),Specyfikacja!$A$5:$K$99,9,0),""))</f>
        <v/>
      </c>
      <c r="T219" s="23" t="str">
        <f>IF(H219=1,VLOOKUP(COUNTIF($H$2:H219,H219),Specyfikacja!$A$5:$D$99,3,0),IF(H219=2,VLOOKUP(COUNTIF($H$2:H219,H219),Specyfikacja!$A$5:$K$99,10,0),""))</f>
        <v/>
      </c>
      <c r="U219" s="23" t="str">
        <f>SUBSTITUTE(SUBSTITUTE(IF(H219=1,VLOOKUP(COUNTIF($H$2:H219,H219),Specyfikacja!$A$5:$D$99,4,0),IF(H219=2,VLOOKUP(COUNTIF($H$2:H219,H219),Specyfikacja!$A$5:$K$99,11,0),"")),"Tak","YES"),"Nie","NO")</f>
        <v/>
      </c>
      <c r="W219" s="646" t="str">
        <f t="shared" ca="1" si="74"/>
        <v>=PODSTAW('ZAMÓWIENIE | WYCENA'!C154;"_";'ZAMÓWIENIE | WYCENA'!$H$147;1)</v>
      </c>
      <c r="X219" s="646">
        <f t="shared" ca="1" si="84"/>
        <v>10</v>
      </c>
      <c r="Y219" s="646">
        <f t="shared" ca="1" si="85"/>
        <v>36</v>
      </c>
      <c r="Z219" s="646" t="str">
        <f t="shared" ca="1" si="86"/>
        <v>'ZAMÓWIENIE | WYCENA'!C154</v>
      </c>
      <c r="AA219" s="647">
        <f t="shared" ca="1" si="77"/>
        <v>18.7</v>
      </c>
      <c r="AB219" s="647">
        <f t="shared" ca="1" si="77"/>
        <v>0</v>
      </c>
      <c r="AC219" s="647">
        <f t="shared" ca="1" si="77"/>
        <v>0</v>
      </c>
      <c r="AD219" s="646" t="str">
        <f t="shared" si="75"/>
        <v>3000-000-905S-ZBU000</v>
      </c>
      <c r="AE219" s="648">
        <f t="shared" ca="1" si="76"/>
        <v>18.7</v>
      </c>
    </row>
    <row r="220" spans="1:31" s="7" customFormat="1" ht="12">
      <c r="A220" s="23">
        <v>219</v>
      </c>
      <c r="B220" s="23" t="str">
        <f>SUBSTITUTE('ZAMÓWIENIE | WYCENA'!C155,"_",'ZAMÓWIENIE | WYCENA'!$H$147,1)</f>
        <v>3000-000-905S-ZLU000</v>
      </c>
      <c r="C220" s="15">
        <f>'ZAMÓWIENIE | WYCENA'!H169</f>
        <v>0</v>
      </c>
      <c r="D220" s="14">
        <v>1</v>
      </c>
      <c r="E220" s="13"/>
      <c r="F220" s="13"/>
      <c r="G220" s="13"/>
      <c r="H220" s="24">
        <f>IFERROR(IF(COUNTIFS($H$1:H219,H219)&gt;=VLOOKUP(H219,$A$2:$D$309,4,0),IF(H219=MAX($A$2:$A$317),"",Lista!H219+1),H219),"")</f>
        <v>219</v>
      </c>
      <c r="I220" s="22" t="str">
        <f t="shared" si="78"/>
        <v>3000-000-905S-ZLU000</v>
      </c>
      <c r="J220" s="24">
        <f t="shared" si="79"/>
        <v>0</v>
      </c>
      <c r="K220" s="25">
        <f t="shared" si="87"/>
        <v>0</v>
      </c>
      <c r="L220" s="26">
        <f t="shared" si="88"/>
        <v>0</v>
      </c>
      <c r="M220" s="26">
        <f t="shared" si="80"/>
        <v>0</v>
      </c>
      <c r="N220" s="26" t="str">
        <f t="shared" si="81"/>
        <v>SHO</v>
      </c>
      <c r="O220" s="26" t="str">
        <f t="shared" si="82"/>
        <v>IPT</v>
      </c>
      <c r="P220" s="25" t="str">
        <f t="shared" ca="1" si="83"/>
        <v>ND260415_0</v>
      </c>
      <c r="Q220" s="27" t="str">
        <f t="shared" ca="1" si="89"/>
        <v>2026-04-15</v>
      </c>
      <c r="R220" s="26" t="str">
        <f t="shared" si="90"/>
        <v>PLN</v>
      </c>
      <c r="S220" s="23" t="str">
        <f>IF(H220=1,VLOOKUP(COUNTIF($H$2:H220,H220),Specyfikacja!$A$5:$D$99,2,0),IF(H220=2,VLOOKUP(COUNTIF($H$2:H220,H220),Specyfikacja!$A$5:$K$99,9,0),""))</f>
        <v/>
      </c>
      <c r="T220" s="23" t="str">
        <f>IF(H220=1,VLOOKUP(COUNTIF($H$2:H220,H220),Specyfikacja!$A$5:$D$99,3,0),IF(H220=2,VLOOKUP(COUNTIF($H$2:H220,H220),Specyfikacja!$A$5:$K$99,10,0),""))</f>
        <v/>
      </c>
      <c r="U220" s="23" t="str">
        <f>SUBSTITUTE(SUBSTITUTE(IF(H220=1,VLOOKUP(COUNTIF($H$2:H220,H220),Specyfikacja!$A$5:$D$99,4,0),IF(H220=2,VLOOKUP(COUNTIF($H$2:H220,H220),Specyfikacja!$A$5:$K$99,11,0),"")),"Tak","YES"),"Nie","NO")</f>
        <v/>
      </c>
      <c r="W220" s="646" t="str">
        <f t="shared" ca="1" si="74"/>
        <v>=PODSTAW('ZAMÓWIENIE | WYCENA'!C155;"_";'ZAMÓWIENIE | WYCENA'!$H$147;1)</v>
      </c>
      <c r="X220" s="646">
        <f t="shared" ca="1" si="84"/>
        <v>10</v>
      </c>
      <c r="Y220" s="646">
        <f t="shared" ca="1" si="85"/>
        <v>36</v>
      </c>
      <c r="Z220" s="646" t="str">
        <f t="shared" ca="1" si="86"/>
        <v>'ZAMÓWIENIE | WYCENA'!C155</v>
      </c>
      <c r="AA220" s="647">
        <f t="shared" ca="1" si="77"/>
        <v>8.8000000000000007</v>
      </c>
      <c r="AB220" s="647">
        <f t="shared" ca="1" si="77"/>
        <v>0</v>
      </c>
      <c r="AC220" s="647">
        <f t="shared" ca="1" si="77"/>
        <v>0</v>
      </c>
      <c r="AD220" s="646" t="str">
        <f t="shared" si="75"/>
        <v>3000-000-905S-ZLU000</v>
      </c>
      <c r="AE220" s="648">
        <f t="shared" ca="1" si="76"/>
        <v>8.8000000000000007</v>
      </c>
    </row>
    <row r="221" spans="1:31" s="7" customFormat="1" ht="12">
      <c r="A221" s="23">
        <v>220</v>
      </c>
      <c r="B221" s="23" t="str">
        <f>SUBSTITUTE('ZAMÓWIENIE | WYCENA'!C156,"_",'ZAMÓWIENIE | WYCENA'!$H$147,1)</f>
        <v>3000-000-905S-ZZU000</v>
      </c>
      <c r="C221" s="15">
        <f>'ZAMÓWIENIE | WYCENA'!H170</f>
        <v>0</v>
      </c>
      <c r="D221" s="14">
        <v>1</v>
      </c>
      <c r="E221" s="13"/>
      <c r="F221" s="13"/>
      <c r="G221" s="13"/>
      <c r="H221" s="24">
        <f>IFERROR(IF(COUNTIFS($H$1:H220,H220)&gt;=VLOOKUP(H220,$A$2:$D$309,4,0),IF(H220=MAX($A$2:$A$317),"",Lista!H220+1),H220),"")</f>
        <v>220</v>
      </c>
      <c r="I221" s="22" t="str">
        <f t="shared" si="78"/>
        <v>3000-000-905S-ZZU000</v>
      </c>
      <c r="J221" s="24">
        <f t="shared" si="79"/>
        <v>0</v>
      </c>
      <c r="K221" s="25">
        <f>IF(H221=H220,"",IF(H221="","",$F$2))</f>
        <v>0</v>
      </c>
      <c r="L221" s="26">
        <f>IF(H221=H220,"",IF(H221="","",$F$3))</f>
        <v>0</v>
      </c>
      <c r="M221" s="26">
        <f t="shared" si="80"/>
        <v>0</v>
      </c>
      <c r="N221" s="26" t="str">
        <f t="shared" si="81"/>
        <v>SHO</v>
      </c>
      <c r="O221" s="26" t="str">
        <f t="shared" si="82"/>
        <v>IPT</v>
      </c>
      <c r="P221" s="25" t="str">
        <f t="shared" ca="1" si="83"/>
        <v>ND260415_0</v>
      </c>
      <c r="Q221" s="27" t="str">
        <f ca="1">IF(H221=H220,"",IF(H221="","",$F$8))</f>
        <v>2026-04-15</v>
      </c>
      <c r="R221" s="26" t="str">
        <f>IF(H221=H220,"",IF(H221="","",$F$9))</f>
        <v>PLN</v>
      </c>
      <c r="S221" s="23" t="str">
        <f>IF(H221=1,VLOOKUP(COUNTIF($H$2:H221,H221),Specyfikacja!$A$5:$D$99,2,0),IF(H221=2,VLOOKUP(COUNTIF($H$2:H221,H221),Specyfikacja!$A$5:$K$99,9,0),""))</f>
        <v/>
      </c>
      <c r="T221" s="23" t="str">
        <f>IF(H221=1,VLOOKUP(COUNTIF($H$2:H221,H221),Specyfikacja!$A$5:$D$99,3,0),IF(H221=2,VLOOKUP(COUNTIF($H$2:H221,H221),Specyfikacja!$A$5:$K$99,10,0),""))</f>
        <v/>
      </c>
      <c r="U221" s="23" t="str">
        <f>SUBSTITUTE(SUBSTITUTE(IF(H221=1,VLOOKUP(COUNTIF($H$2:H221,H221),Specyfikacja!$A$5:$D$99,4,0),IF(H221=2,VLOOKUP(COUNTIF($H$2:H221,H221),Specyfikacja!$A$5:$K$99,11,0),"")),"Tak","YES"),"Nie","NO")</f>
        <v/>
      </c>
      <c r="W221" s="646" t="str">
        <f t="shared" ca="1" si="74"/>
        <v>=PODSTAW('ZAMÓWIENIE | WYCENA'!C156;"_";'ZAMÓWIENIE | WYCENA'!$H$147;1)</v>
      </c>
      <c r="X221" s="646">
        <f t="shared" ca="1" si="84"/>
        <v>10</v>
      </c>
      <c r="Y221" s="646">
        <f t="shared" ca="1" si="85"/>
        <v>36</v>
      </c>
      <c r="Z221" s="646" t="str">
        <f t="shared" ca="1" si="86"/>
        <v>'ZAMÓWIENIE | WYCENA'!C156</v>
      </c>
      <c r="AA221" s="647">
        <f t="shared" ca="1" si="77"/>
        <v>4.5</v>
      </c>
      <c r="AB221" s="647">
        <f t="shared" ca="1" si="77"/>
        <v>0</v>
      </c>
      <c r="AC221" s="647">
        <f t="shared" ca="1" si="77"/>
        <v>0</v>
      </c>
      <c r="AD221" s="646" t="str">
        <f t="shared" si="75"/>
        <v>3000-000-905S-ZZU000</v>
      </c>
      <c r="AE221" s="648">
        <f t="shared" ca="1" si="76"/>
        <v>4.5</v>
      </c>
    </row>
    <row r="222" spans="1:31" s="7" customFormat="1" ht="12">
      <c r="A222" s="23">
        <v>221</v>
      </c>
      <c r="B222" s="23" t="str">
        <f>'ZAMÓWIENIE | WYCENA'!C176</f>
        <v>1004-000-000X-KGS000</v>
      </c>
      <c r="C222" s="15">
        <f>'ZAMÓWIENIE | WYCENA'!F176</f>
        <v>0</v>
      </c>
      <c r="D222" s="14"/>
      <c r="E222" s="13"/>
      <c r="F222" s="13"/>
      <c r="G222" s="13"/>
      <c r="H222" s="24">
        <f>IFERROR(IF(COUNTIFS($H$1:H221,H221)&gt;=VLOOKUP(H221,$A$2:$D$309,4,0),IF(H221=MAX($A$2:$A$317),"",Lista!H221+1),H221),"")</f>
        <v>221</v>
      </c>
      <c r="I222" s="22" t="str">
        <f t="shared" si="78"/>
        <v>1004-000-000X-KGS000</v>
      </c>
      <c r="J222" s="24">
        <f t="shared" si="79"/>
        <v>0</v>
      </c>
      <c r="K222" s="25">
        <f t="shared" si="87"/>
        <v>0</v>
      </c>
      <c r="L222" s="26">
        <f t="shared" si="88"/>
        <v>0</v>
      </c>
      <c r="M222" s="26">
        <f t="shared" si="80"/>
        <v>0</v>
      </c>
      <c r="N222" s="26" t="str">
        <f t="shared" si="81"/>
        <v>SHO</v>
      </c>
      <c r="O222" s="26" t="str">
        <f t="shared" si="82"/>
        <v>IPT</v>
      </c>
      <c r="P222" s="25" t="str">
        <f t="shared" ca="1" si="83"/>
        <v>ND260415_0</v>
      </c>
      <c r="Q222" s="27" t="str">
        <f t="shared" ca="1" si="89"/>
        <v>2026-04-15</v>
      </c>
      <c r="R222" s="26" t="str">
        <f t="shared" si="90"/>
        <v>PLN</v>
      </c>
      <c r="S222" s="23" t="str">
        <f>IF(H222=1,VLOOKUP(COUNTIF($H$2:H222,H222),Specyfikacja!$A$5:$D$99,2,0),IF(H222=2,VLOOKUP(COUNTIF($H$2:H222,H222),Specyfikacja!$A$5:$K$99,9,0),""))</f>
        <v/>
      </c>
      <c r="T222" s="23" t="str">
        <f>IF(H222=1,VLOOKUP(COUNTIF($H$2:H222,H222),Specyfikacja!$A$5:$D$99,3,0),IF(H222=2,VLOOKUP(COUNTIF($H$2:H222,H222),Specyfikacja!$A$5:$K$99,10,0),""))</f>
        <v/>
      </c>
      <c r="U222" s="23" t="str">
        <f>SUBSTITUTE(SUBSTITUTE(IF(H222=1,VLOOKUP(COUNTIF($H$2:H222,H222),Specyfikacja!$A$5:$D$99,4,0),IF(H222=2,VLOOKUP(COUNTIF($H$2:H222,H222),Specyfikacja!$A$5:$K$99,11,0),"")),"Tak","YES"),"Nie","NO")</f>
        <v/>
      </c>
      <c r="W222" s="646" t="str">
        <f ca="1">_xlfn.FORMULATEXT(B222)</f>
        <v>='ZAMÓWIENIE | WYCENA'!C176</v>
      </c>
      <c r="X222" s="646"/>
      <c r="Y222" s="646"/>
      <c r="Z222" s="650" t="s">
        <v>813</v>
      </c>
      <c r="AA222" s="647">
        <f t="shared" ca="1" si="77"/>
        <v>44.9</v>
      </c>
      <c r="AB222" s="647">
        <f t="shared" ca="1" si="77"/>
        <v>0</v>
      </c>
      <c r="AC222" s="647">
        <f t="shared" ca="1" si="77"/>
        <v>0</v>
      </c>
      <c r="AD222" s="646" t="str">
        <f t="shared" si="75"/>
        <v>1004-000-000X-KGS000</v>
      </c>
      <c r="AE222" s="648">
        <f t="shared" ca="1" si="76"/>
        <v>44.9</v>
      </c>
    </row>
    <row r="223" spans="1:31" s="7" customFormat="1" ht="12">
      <c r="A223" s="23">
        <v>222</v>
      </c>
      <c r="B223" s="23" t="str">
        <f>'ZAMÓWIENIE | WYCENA'!C177</f>
        <v>1004-000-000X-KRT000</v>
      </c>
      <c r="C223" s="15">
        <f>'ZAMÓWIENIE | WYCENA'!F177</f>
        <v>0</v>
      </c>
      <c r="D223" s="14"/>
      <c r="E223" s="13"/>
      <c r="F223" s="13"/>
      <c r="G223" s="13"/>
      <c r="H223" s="24">
        <f>IFERROR(IF(COUNTIFS($H$1:H222,H222)&gt;=VLOOKUP(H222,$A$2:$D$309,4,0),IF(H222=MAX($A$2:$A$317),"",Lista!H222+1),H222),"")</f>
        <v>222</v>
      </c>
      <c r="I223" s="22" t="str">
        <f t="shared" si="78"/>
        <v>1004-000-000X-KRT000</v>
      </c>
      <c r="J223" s="24">
        <f t="shared" si="79"/>
        <v>0</v>
      </c>
      <c r="K223" s="25">
        <f t="shared" si="87"/>
        <v>0</v>
      </c>
      <c r="L223" s="26">
        <f t="shared" si="88"/>
        <v>0</v>
      </c>
      <c r="M223" s="26">
        <f t="shared" si="80"/>
        <v>0</v>
      </c>
      <c r="N223" s="26" t="str">
        <f t="shared" si="81"/>
        <v>SHO</v>
      </c>
      <c r="O223" s="26" t="str">
        <f t="shared" si="82"/>
        <v>IPT</v>
      </c>
      <c r="P223" s="25" t="str">
        <f t="shared" ca="1" si="83"/>
        <v>ND260415_0</v>
      </c>
      <c r="Q223" s="27" t="str">
        <f t="shared" ca="1" si="89"/>
        <v>2026-04-15</v>
      </c>
      <c r="R223" s="26" t="str">
        <f t="shared" si="90"/>
        <v>PLN</v>
      </c>
      <c r="S223" s="23" t="str">
        <f>IF(H223=1,VLOOKUP(COUNTIF($H$2:H223,H223),Specyfikacja!$A$5:$D$99,2,0),IF(H223=2,VLOOKUP(COUNTIF($H$2:H223,H223),Specyfikacja!$A$5:$K$99,9,0),""))</f>
        <v/>
      </c>
      <c r="T223" s="23" t="str">
        <f>IF(H223=1,VLOOKUP(COUNTIF($H$2:H223,H223),Specyfikacja!$A$5:$D$99,3,0),IF(H223=2,VLOOKUP(COUNTIF($H$2:H223,H223),Specyfikacja!$A$5:$K$99,10,0),""))</f>
        <v/>
      </c>
      <c r="U223" s="23" t="str">
        <f>SUBSTITUTE(SUBSTITUTE(IF(H223=1,VLOOKUP(COUNTIF($H$2:H223,H223),Specyfikacja!$A$5:$D$99,4,0),IF(H223=2,VLOOKUP(COUNTIF($H$2:H223,H223),Specyfikacja!$A$5:$K$99,11,0),"")),"Tak","YES"),"Nie","NO")</f>
        <v/>
      </c>
      <c r="W223" s="646" t="str">
        <f t="shared" ca="1" si="74"/>
        <v>='ZAMÓWIENIE | WYCENA'!C177</v>
      </c>
      <c r="X223" s="646"/>
      <c r="Y223" s="646"/>
      <c r="Z223" s="650" t="s">
        <v>814</v>
      </c>
      <c r="AA223" s="647">
        <f t="shared" ca="1" si="77"/>
        <v>838.9</v>
      </c>
      <c r="AB223" s="647">
        <f t="shared" ca="1" si="77"/>
        <v>0</v>
      </c>
      <c r="AC223" s="647">
        <f t="shared" ca="1" si="77"/>
        <v>0</v>
      </c>
      <c r="AD223" s="646" t="str">
        <f t="shared" si="75"/>
        <v>1004-000-000X-KRT000</v>
      </c>
      <c r="AE223" s="648">
        <f t="shared" ca="1" si="76"/>
        <v>838.9</v>
      </c>
    </row>
    <row r="224" spans="1:31" s="7" customFormat="1" ht="12">
      <c r="A224" s="23">
        <v>223</v>
      </c>
      <c r="B224" s="23" t="str">
        <f>'ZAMÓWIENIE | WYCENA'!C178</f>
        <v>1004-000-000X-KCW000</v>
      </c>
      <c r="C224" s="15">
        <f>'ZAMÓWIENIE | WYCENA'!F178</f>
        <v>0</v>
      </c>
      <c r="D224" s="14"/>
      <c r="E224" s="13"/>
      <c r="F224" s="13"/>
      <c r="G224" s="13"/>
      <c r="H224" s="24">
        <f>IFERROR(IF(COUNTIFS($H$1:H223,H223)&gt;=VLOOKUP(H223,$A$2:$D$309,4,0),IF(H223=MAX($A$2:$A$317),"",Lista!H223+1),H223),"")</f>
        <v>223</v>
      </c>
      <c r="I224" s="22" t="str">
        <f t="shared" si="78"/>
        <v>1004-000-000X-KCW000</v>
      </c>
      <c r="J224" s="24">
        <f t="shared" si="79"/>
        <v>0</v>
      </c>
      <c r="K224" s="25">
        <f t="shared" si="87"/>
        <v>0</v>
      </c>
      <c r="L224" s="26">
        <f t="shared" si="88"/>
        <v>0</v>
      </c>
      <c r="M224" s="26">
        <f t="shared" si="80"/>
        <v>0</v>
      </c>
      <c r="N224" s="26" t="str">
        <f t="shared" si="81"/>
        <v>SHO</v>
      </c>
      <c r="O224" s="26" t="str">
        <f t="shared" si="82"/>
        <v>IPT</v>
      </c>
      <c r="P224" s="25" t="str">
        <f t="shared" ca="1" si="83"/>
        <v>ND260415_0</v>
      </c>
      <c r="Q224" s="27" t="str">
        <f t="shared" ca="1" si="89"/>
        <v>2026-04-15</v>
      </c>
      <c r="R224" s="26" t="str">
        <f t="shared" si="90"/>
        <v>PLN</v>
      </c>
      <c r="S224" s="23" t="str">
        <f>IF(H224=1,VLOOKUP(COUNTIF($H$2:H224,H224),Specyfikacja!$A$5:$D$99,2,0),IF(H224=2,VLOOKUP(COUNTIF($H$2:H224,H224),Specyfikacja!$A$5:$K$99,9,0),""))</f>
        <v/>
      </c>
      <c r="T224" s="23" t="str">
        <f>IF(H224=1,VLOOKUP(COUNTIF($H$2:H224,H224),Specyfikacja!$A$5:$D$99,3,0),IF(H224=2,VLOOKUP(COUNTIF($H$2:H224,H224),Specyfikacja!$A$5:$K$99,10,0),""))</f>
        <v/>
      </c>
      <c r="U224" s="23" t="str">
        <f>SUBSTITUTE(SUBSTITUTE(IF(H224=1,VLOOKUP(COUNTIF($H$2:H224,H224),Specyfikacja!$A$5:$D$99,4,0),IF(H224=2,VLOOKUP(COUNTIF($H$2:H224,H224),Specyfikacja!$A$5:$K$99,11,0),"")),"Tak","YES"),"Nie","NO")</f>
        <v/>
      </c>
      <c r="W224" s="646" t="str">
        <f t="shared" ca="1" si="74"/>
        <v>='ZAMÓWIENIE | WYCENA'!C178</v>
      </c>
      <c r="X224" s="646"/>
      <c r="Y224" s="646"/>
      <c r="Z224" s="650" t="s">
        <v>815</v>
      </c>
      <c r="AA224" s="647">
        <f t="shared" ca="1" si="77"/>
        <v>798.6</v>
      </c>
      <c r="AB224" s="647">
        <f t="shared" ca="1" si="77"/>
        <v>0</v>
      </c>
      <c r="AC224" s="647">
        <f t="shared" ca="1" si="77"/>
        <v>0</v>
      </c>
      <c r="AD224" s="646" t="str">
        <f t="shared" si="75"/>
        <v>1004-000-000X-KCW000</v>
      </c>
      <c r="AE224" s="648">
        <f t="shared" ca="1" si="76"/>
        <v>798.6</v>
      </c>
    </row>
    <row r="225" spans="1:31" s="7" customFormat="1" ht="12">
      <c r="A225" s="23">
        <v>224</v>
      </c>
      <c r="B225" s="23" t="str">
        <f>'ZAMÓWIENIE | WYCENA'!C179</f>
        <v>1004-000-000X-KCT000</v>
      </c>
      <c r="C225" s="15">
        <f>'ZAMÓWIENIE | WYCENA'!F179</f>
        <v>0</v>
      </c>
      <c r="D225" s="13"/>
      <c r="E225" s="13"/>
      <c r="F225" s="13"/>
      <c r="G225" s="13"/>
      <c r="H225" s="24">
        <f>IFERROR(IF(COUNTIFS($H$1:H224,H224)&gt;=VLOOKUP(H224,$A$2:$D$309,4,0),IF(H224=MAX($A$2:$A$317),"",Lista!H224+1),H224),"")</f>
        <v>224</v>
      </c>
      <c r="I225" s="22" t="str">
        <f t="shared" si="78"/>
        <v>1004-000-000X-KCT000</v>
      </c>
      <c r="J225" s="24">
        <f t="shared" si="79"/>
        <v>0</v>
      </c>
      <c r="K225" s="25">
        <f t="shared" si="87"/>
        <v>0</v>
      </c>
      <c r="L225" s="26">
        <f t="shared" si="88"/>
        <v>0</v>
      </c>
      <c r="M225" s="26">
        <f t="shared" si="80"/>
        <v>0</v>
      </c>
      <c r="N225" s="26" t="str">
        <f t="shared" si="81"/>
        <v>SHO</v>
      </c>
      <c r="O225" s="26" t="str">
        <f t="shared" si="82"/>
        <v>IPT</v>
      </c>
      <c r="P225" s="25" t="str">
        <f t="shared" ca="1" si="83"/>
        <v>ND260415_0</v>
      </c>
      <c r="Q225" s="27" t="str">
        <f t="shared" ca="1" si="89"/>
        <v>2026-04-15</v>
      </c>
      <c r="R225" s="26" t="str">
        <f t="shared" si="90"/>
        <v>PLN</v>
      </c>
      <c r="S225" s="23" t="str">
        <f>IF(H225=1,VLOOKUP(COUNTIF($H$2:H225,H225),Specyfikacja!$A$5:$D$99,2,0),IF(H225=2,VLOOKUP(COUNTIF($H$2:H225,H225),Specyfikacja!$A$5:$K$99,9,0),""))</f>
        <v/>
      </c>
      <c r="T225" s="23" t="str">
        <f>IF(H225=1,VLOOKUP(COUNTIF($H$2:H225,H225),Specyfikacja!$A$5:$D$99,3,0),IF(H225=2,VLOOKUP(COUNTIF($H$2:H225,H225),Specyfikacja!$A$5:$K$99,10,0),""))</f>
        <v/>
      </c>
      <c r="U225" s="23" t="str">
        <f>SUBSTITUTE(SUBSTITUTE(IF(H225=1,VLOOKUP(COUNTIF($H$2:H225,H225),Specyfikacja!$A$5:$D$99,4,0),IF(H225=2,VLOOKUP(COUNTIF($H$2:H225,H225),Specyfikacja!$A$5:$K$99,11,0),"")),"Tak","YES"),"Nie","NO")</f>
        <v/>
      </c>
      <c r="W225" s="646" t="str">
        <f t="shared" ca="1" si="74"/>
        <v>='ZAMÓWIENIE | WYCENA'!C179</v>
      </c>
      <c r="X225" s="646"/>
      <c r="Y225" s="646"/>
      <c r="Z225" s="650" t="s">
        <v>816</v>
      </c>
      <c r="AA225" s="647">
        <f t="shared" ca="1" si="77"/>
        <v>229.9</v>
      </c>
      <c r="AB225" s="647">
        <f t="shared" ca="1" si="77"/>
        <v>0</v>
      </c>
      <c r="AC225" s="647">
        <f t="shared" ca="1" si="77"/>
        <v>0</v>
      </c>
      <c r="AD225" s="646" t="str">
        <f t="shared" si="75"/>
        <v>1004-000-000X-KCT000</v>
      </c>
      <c r="AE225" s="648">
        <f t="shared" ca="1" si="76"/>
        <v>229.9</v>
      </c>
    </row>
    <row r="226" spans="1:31" s="7" customFormat="1" ht="12" customHeight="1">
      <c r="A226" s="23">
        <v>225</v>
      </c>
      <c r="B226" s="23" t="str">
        <f>'ZAMÓWIENIE | WYCENA'!C180</f>
        <v>1004-000-000X-KPZ000</v>
      </c>
      <c r="C226" s="15">
        <f>'ZAMÓWIENIE | WYCENA'!F180</f>
        <v>0</v>
      </c>
      <c r="D226" s="17"/>
      <c r="E226" s="13"/>
      <c r="F226" s="13"/>
      <c r="G226" s="13"/>
      <c r="H226" s="24">
        <f>IFERROR(IF(COUNTIFS($H$1:H225,H225)&gt;=VLOOKUP(H225,$A$2:$D$309,4,0),IF(H225=MAX($A$2:$A$317),"",Lista!H225+1),H225),"")</f>
        <v>225</v>
      </c>
      <c r="I226" s="22" t="str">
        <f t="shared" si="78"/>
        <v>1004-000-000X-KPZ000</v>
      </c>
      <c r="J226" s="24">
        <f t="shared" si="79"/>
        <v>0</v>
      </c>
      <c r="K226" s="25">
        <f t="shared" si="87"/>
        <v>0</v>
      </c>
      <c r="L226" s="26">
        <f t="shared" si="88"/>
        <v>0</v>
      </c>
      <c r="M226" s="26">
        <f t="shared" si="80"/>
        <v>0</v>
      </c>
      <c r="N226" s="26" t="str">
        <f t="shared" si="81"/>
        <v>SHO</v>
      </c>
      <c r="O226" s="26" t="str">
        <f t="shared" si="82"/>
        <v>IPT</v>
      </c>
      <c r="P226" s="25" t="str">
        <f t="shared" ca="1" si="83"/>
        <v>ND260415_0</v>
      </c>
      <c r="Q226" s="27" t="str">
        <f t="shared" ca="1" si="89"/>
        <v>2026-04-15</v>
      </c>
      <c r="R226" s="26" t="str">
        <f t="shared" si="90"/>
        <v>PLN</v>
      </c>
      <c r="S226" s="23" t="str">
        <f>IF(H226=1,VLOOKUP(COUNTIF($H$2:H226,H226),Specyfikacja!$A$5:$D$99,2,0),IF(H226=2,VLOOKUP(COUNTIF($H$2:H226,H226),Specyfikacja!$A$5:$K$99,9,0),""))</f>
        <v/>
      </c>
      <c r="T226" s="23" t="str">
        <f>IF(H226=1,VLOOKUP(COUNTIF($H$2:H226,H226),Specyfikacja!$A$5:$D$99,3,0),IF(H226=2,VLOOKUP(COUNTIF($H$2:H226,H226),Specyfikacja!$A$5:$K$99,10,0),""))</f>
        <v/>
      </c>
      <c r="U226" s="23" t="str">
        <f>SUBSTITUTE(SUBSTITUTE(IF(H226=1,VLOOKUP(COUNTIF($H$2:H226,H226),Specyfikacja!$A$5:$D$99,4,0),IF(H226=2,VLOOKUP(COUNTIF($H$2:H226,H226),Specyfikacja!$A$5:$K$99,11,0),"")),"Tak","YES"),"Nie","NO")</f>
        <v/>
      </c>
      <c r="W226" s="646" t="str">
        <f t="shared" ca="1" si="74"/>
        <v>='ZAMÓWIENIE | WYCENA'!C180</v>
      </c>
      <c r="X226" s="646"/>
      <c r="Y226" s="646"/>
      <c r="Z226" s="650" t="s">
        <v>817</v>
      </c>
      <c r="AA226" s="647">
        <f t="shared" ca="1" si="77"/>
        <v>39.5</v>
      </c>
      <c r="AB226" s="647">
        <f t="shared" ca="1" si="77"/>
        <v>0</v>
      </c>
      <c r="AC226" s="647">
        <f t="shared" ca="1" si="77"/>
        <v>0</v>
      </c>
      <c r="AD226" s="646" t="str">
        <f t="shared" si="75"/>
        <v>1004-000-000X-KPZ000</v>
      </c>
      <c r="AE226" s="648">
        <f t="shared" ca="1" si="76"/>
        <v>39.5</v>
      </c>
    </row>
    <row r="227" spans="1:31" s="7" customFormat="1" ht="12">
      <c r="A227" s="23">
        <v>226</v>
      </c>
      <c r="B227" s="23" t="str">
        <f>'ZAMÓWIENIE | WYCENA'!C181</f>
        <v>1004-000-000X-TRK000</v>
      </c>
      <c r="C227" s="15">
        <f>'ZAMÓWIENIE | WYCENA'!F181</f>
        <v>0</v>
      </c>
      <c r="D227" s="13"/>
      <c r="E227" s="13"/>
      <c r="F227" s="13"/>
      <c r="G227" s="13"/>
      <c r="H227" s="24">
        <f>IFERROR(IF(COUNTIFS($H$1:H226,H226)&gt;=VLOOKUP(H226,$A$2:$D$309,4,0),IF(H226=MAX($A$2:$A$317),"",Lista!H226+1),H226),"")</f>
        <v>226</v>
      </c>
      <c r="I227" s="22" t="str">
        <f t="shared" si="78"/>
        <v>1004-000-000X-TRK000</v>
      </c>
      <c r="J227" s="24">
        <f t="shared" si="79"/>
        <v>0</v>
      </c>
      <c r="K227" s="25">
        <f t="shared" si="87"/>
        <v>0</v>
      </c>
      <c r="L227" s="26">
        <f t="shared" si="88"/>
        <v>0</v>
      </c>
      <c r="M227" s="26">
        <f t="shared" si="80"/>
        <v>0</v>
      </c>
      <c r="N227" s="26" t="str">
        <f t="shared" si="81"/>
        <v>SHO</v>
      </c>
      <c r="O227" s="26" t="str">
        <f t="shared" si="82"/>
        <v>IPT</v>
      </c>
      <c r="P227" s="25" t="str">
        <f t="shared" ca="1" si="83"/>
        <v>ND260415_0</v>
      </c>
      <c r="Q227" s="27" t="str">
        <f t="shared" ca="1" si="89"/>
        <v>2026-04-15</v>
      </c>
      <c r="R227" s="26" t="str">
        <f t="shared" si="90"/>
        <v>PLN</v>
      </c>
      <c r="S227" s="23" t="str">
        <f>IF(H227=1,VLOOKUP(COUNTIF($H$2:H227,H227),Specyfikacja!$A$5:$D$99,2,0),IF(H227=2,VLOOKUP(COUNTIF($H$2:H227,H227),Specyfikacja!$A$5:$K$99,9,0),""))</f>
        <v/>
      </c>
      <c r="T227" s="23" t="str">
        <f>IF(H227=1,VLOOKUP(COUNTIF($H$2:H227,H227),Specyfikacja!$A$5:$D$99,3,0),IF(H227=2,VLOOKUP(COUNTIF($H$2:H227,H227),Specyfikacja!$A$5:$K$99,10,0),""))</f>
        <v/>
      </c>
      <c r="U227" s="23" t="str">
        <f>SUBSTITUTE(SUBSTITUTE(IF(H227=1,VLOOKUP(COUNTIF($H$2:H227,H227),Specyfikacja!$A$5:$D$99,4,0),IF(H227=2,VLOOKUP(COUNTIF($H$2:H227,H227),Specyfikacja!$A$5:$K$99,11,0),"")),"Tak","YES"),"Nie","NO")</f>
        <v/>
      </c>
      <c r="W227" s="646" t="str">
        <f t="shared" ca="1" si="74"/>
        <v>='ZAMÓWIENIE | WYCENA'!C181</v>
      </c>
      <c r="X227" s="646"/>
      <c r="Y227" s="646"/>
      <c r="Z227" s="650" t="s">
        <v>818</v>
      </c>
      <c r="AA227" s="647">
        <f t="shared" ca="1" si="77"/>
        <v>26.6</v>
      </c>
      <c r="AB227" s="647">
        <f t="shared" ca="1" si="77"/>
        <v>0</v>
      </c>
      <c r="AC227" s="647">
        <f t="shared" ca="1" si="77"/>
        <v>0</v>
      </c>
      <c r="AD227" s="646" t="str">
        <f t="shared" si="75"/>
        <v>1004-000-000X-TRK000</v>
      </c>
      <c r="AE227" s="648">
        <f t="shared" ca="1" si="76"/>
        <v>26.6</v>
      </c>
    </row>
    <row r="228" spans="1:31" s="7" customFormat="1" ht="12">
      <c r="A228" s="23">
        <v>227</v>
      </c>
      <c r="B228" s="23" t="str">
        <f>'ZAMÓWIENIE | WYCENA'!C182</f>
        <v>1004-000-000X-MRU000</v>
      </c>
      <c r="C228" s="15">
        <f>'ZAMÓWIENIE | WYCENA'!F182</f>
        <v>0</v>
      </c>
      <c r="D228" s="13"/>
      <c r="E228" s="13"/>
      <c r="F228" s="13"/>
      <c r="G228" s="13"/>
      <c r="H228" s="24">
        <f>IFERROR(IF(COUNTIFS($H$1:H227,H227)&gt;=VLOOKUP(H227,$A$2:$D$309,4,0),IF(H227=MAX($A$2:$A$317),"",Lista!H227+1),H227),"")</f>
        <v>227</v>
      </c>
      <c r="I228" s="22" t="str">
        <f t="shared" si="78"/>
        <v>1004-000-000X-MRU000</v>
      </c>
      <c r="J228" s="24">
        <f t="shared" si="79"/>
        <v>0</v>
      </c>
      <c r="K228" s="25">
        <f t="shared" si="87"/>
        <v>0</v>
      </c>
      <c r="L228" s="26">
        <f t="shared" si="88"/>
        <v>0</v>
      </c>
      <c r="M228" s="26">
        <f t="shared" si="80"/>
        <v>0</v>
      </c>
      <c r="N228" s="26" t="str">
        <f t="shared" si="81"/>
        <v>SHO</v>
      </c>
      <c r="O228" s="26" t="str">
        <f t="shared" si="82"/>
        <v>IPT</v>
      </c>
      <c r="P228" s="25" t="str">
        <f t="shared" ca="1" si="83"/>
        <v>ND260415_0</v>
      </c>
      <c r="Q228" s="27" t="str">
        <f t="shared" ca="1" si="89"/>
        <v>2026-04-15</v>
      </c>
      <c r="R228" s="26" t="str">
        <f t="shared" si="90"/>
        <v>PLN</v>
      </c>
      <c r="S228" s="23" t="str">
        <f>IF(H228=1,VLOOKUP(COUNTIF($H$2:H228,H228),Specyfikacja!$A$5:$D$99,2,0),IF(H228=2,VLOOKUP(COUNTIF($H$2:H228,H228),Specyfikacja!$A$5:$K$99,9,0),""))</f>
        <v/>
      </c>
      <c r="T228" s="23" t="str">
        <f>IF(H228=1,VLOOKUP(COUNTIF($H$2:H228,H228),Specyfikacja!$A$5:$D$99,3,0),IF(H228=2,VLOOKUP(COUNTIF($H$2:H228,H228),Specyfikacja!$A$5:$K$99,10,0),""))</f>
        <v/>
      </c>
      <c r="U228" s="23" t="str">
        <f>SUBSTITUTE(SUBSTITUTE(IF(H228=1,VLOOKUP(COUNTIF($H$2:H228,H228),Specyfikacja!$A$5:$D$99,4,0),IF(H228=2,VLOOKUP(COUNTIF($H$2:H228,H228),Specyfikacja!$A$5:$K$99,11,0),"")),"Tak","YES"),"Nie","NO")</f>
        <v/>
      </c>
      <c r="W228" s="646" t="str">
        <f t="shared" ca="1" si="74"/>
        <v>='ZAMÓWIENIE | WYCENA'!C182</v>
      </c>
      <c r="X228" s="646"/>
      <c r="Y228" s="646"/>
      <c r="Z228" s="650" t="s">
        <v>819</v>
      </c>
      <c r="AA228" s="647">
        <f t="shared" ca="1" si="77"/>
        <v>45.5</v>
      </c>
      <c r="AB228" s="647">
        <f t="shared" ca="1" si="77"/>
        <v>0</v>
      </c>
      <c r="AC228" s="647">
        <f t="shared" ca="1" si="77"/>
        <v>0</v>
      </c>
      <c r="AD228" s="646" t="str">
        <f t="shared" si="75"/>
        <v>1004-000-000X-MRU000</v>
      </c>
      <c r="AE228" s="648">
        <f t="shared" ca="1" si="76"/>
        <v>45.5</v>
      </c>
    </row>
    <row r="229" spans="1:31" s="7" customFormat="1" ht="12">
      <c r="A229" s="23">
        <v>228</v>
      </c>
      <c r="B229" s="23" t="str">
        <f>'ZAMÓWIENIE | WYCENA'!C183</f>
        <v>1004-000-000X-LIN020</v>
      </c>
      <c r="C229" s="15">
        <f>'ZAMÓWIENIE | WYCENA'!F183</f>
        <v>0</v>
      </c>
      <c r="D229" s="13"/>
      <c r="E229" s="13"/>
      <c r="F229" s="13"/>
      <c r="G229" s="13"/>
      <c r="H229" s="24">
        <f>IFERROR(IF(COUNTIFS($H$1:H228,H228)&gt;=VLOOKUP(H228,$A$2:$D$309,4,0),IF(H228=MAX($A$2:$A$317),"",Lista!H228+1),H228),"")</f>
        <v>228</v>
      </c>
      <c r="I229" s="22" t="str">
        <f t="shared" si="78"/>
        <v>1004-000-000X-LIN020</v>
      </c>
      <c r="J229" s="24">
        <f t="shared" si="79"/>
        <v>0</v>
      </c>
      <c r="K229" s="25">
        <f t="shared" si="87"/>
        <v>0</v>
      </c>
      <c r="L229" s="26">
        <f t="shared" si="88"/>
        <v>0</v>
      </c>
      <c r="M229" s="26">
        <f t="shared" si="80"/>
        <v>0</v>
      </c>
      <c r="N229" s="26" t="str">
        <f t="shared" si="81"/>
        <v>SHO</v>
      </c>
      <c r="O229" s="26" t="str">
        <f t="shared" si="82"/>
        <v>IPT</v>
      </c>
      <c r="P229" s="25" t="str">
        <f t="shared" ca="1" si="83"/>
        <v>ND260415_0</v>
      </c>
      <c r="Q229" s="27" t="str">
        <f t="shared" ca="1" si="89"/>
        <v>2026-04-15</v>
      </c>
      <c r="R229" s="26" t="str">
        <f t="shared" si="90"/>
        <v>PLN</v>
      </c>
      <c r="S229" s="23" t="str">
        <f>IF(H229=1,VLOOKUP(COUNTIF($H$2:H229,H229),Specyfikacja!$A$5:$D$99,2,0),IF(H229=2,VLOOKUP(COUNTIF($H$2:H229,H229),Specyfikacja!$A$5:$K$99,9,0),""))</f>
        <v/>
      </c>
      <c r="T229" s="23" t="str">
        <f>IF(H229=1,VLOOKUP(COUNTIF($H$2:H229,H229),Specyfikacja!$A$5:$D$99,3,0),IF(H229=2,VLOOKUP(COUNTIF($H$2:H229,H229),Specyfikacja!$A$5:$K$99,10,0),""))</f>
        <v/>
      </c>
      <c r="U229" s="23" t="str">
        <f>SUBSTITUTE(SUBSTITUTE(IF(H229=1,VLOOKUP(COUNTIF($H$2:H229,H229),Specyfikacja!$A$5:$D$99,4,0),IF(H229=2,VLOOKUP(COUNTIF($H$2:H229,H229),Specyfikacja!$A$5:$K$99,11,0),"")),"Tak","YES"),"Nie","NO")</f>
        <v/>
      </c>
      <c r="W229" s="646" t="str">
        <f t="shared" ca="1" si="74"/>
        <v>='ZAMÓWIENIE | WYCENA'!C183</v>
      </c>
      <c r="X229" s="646"/>
      <c r="Y229" s="646"/>
      <c r="Z229" s="650" t="s">
        <v>820</v>
      </c>
      <c r="AA229" s="647">
        <f t="shared" ca="1" si="77"/>
        <v>358</v>
      </c>
      <c r="AB229" s="647">
        <f t="shared" ca="1" si="77"/>
        <v>0</v>
      </c>
      <c r="AC229" s="647">
        <f t="shared" ca="1" si="77"/>
        <v>0</v>
      </c>
      <c r="AD229" s="646" t="str">
        <f t="shared" si="75"/>
        <v>1004-000-000X-LIN020</v>
      </c>
      <c r="AE229" s="648">
        <f t="shared" ca="1" si="76"/>
        <v>358</v>
      </c>
    </row>
    <row r="230" spans="1:31" s="7" customFormat="1" ht="12">
      <c r="A230" s="23">
        <v>229</v>
      </c>
      <c r="B230" s="23" t="str">
        <f>'ZAMÓWIENIE | WYCENA'!C184</f>
        <v>1004-000-000X-LIW000</v>
      </c>
      <c r="C230" s="15">
        <f>'ZAMÓWIENIE | WYCENA'!F184</f>
        <v>0</v>
      </c>
      <c r="D230" s="13"/>
      <c r="E230" s="13"/>
      <c r="F230" s="13"/>
      <c r="G230" s="13"/>
      <c r="H230" s="24">
        <f>IFERROR(IF(COUNTIFS($H$1:H229,H229)&gt;=VLOOKUP(H229,$A$2:$D$309,4,0),IF(H229=MAX($A$2:$A$317),"",Lista!H229+1),H229),"")</f>
        <v>229</v>
      </c>
      <c r="I230" s="22" t="str">
        <f t="shared" si="78"/>
        <v>1004-000-000X-LIW000</v>
      </c>
      <c r="J230" s="24">
        <f t="shared" si="79"/>
        <v>0</v>
      </c>
      <c r="K230" s="25">
        <f t="shared" si="87"/>
        <v>0</v>
      </c>
      <c r="L230" s="26">
        <f t="shared" si="88"/>
        <v>0</v>
      </c>
      <c r="M230" s="26">
        <f t="shared" si="80"/>
        <v>0</v>
      </c>
      <c r="N230" s="26" t="str">
        <f t="shared" si="81"/>
        <v>SHO</v>
      </c>
      <c r="O230" s="26" t="str">
        <f t="shared" si="82"/>
        <v>IPT</v>
      </c>
      <c r="P230" s="25" t="str">
        <f t="shared" ca="1" si="83"/>
        <v>ND260415_0</v>
      </c>
      <c r="Q230" s="27" t="str">
        <f t="shared" ca="1" si="89"/>
        <v>2026-04-15</v>
      </c>
      <c r="R230" s="26" t="str">
        <f t="shared" si="90"/>
        <v>PLN</v>
      </c>
      <c r="S230" s="23" t="str">
        <f>IF(H230=1,VLOOKUP(COUNTIF($H$2:H230,H230),Specyfikacja!$A$5:$D$99,2,0),IF(H230=2,VLOOKUP(COUNTIF($H$2:H230,H230),Specyfikacja!$A$5:$K$99,9,0),""))</f>
        <v/>
      </c>
      <c r="T230" s="23" t="str">
        <f>IF(H230=1,VLOOKUP(COUNTIF($H$2:H230,H230),Specyfikacja!$A$5:$D$99,3,0),IF(H230=2,VLOOKUP(COUNTIF($H$2:H230,H230),Specyfikacja!$A$5:$K$99,10,0),""))</f>
        <v/>
      </c>
      <c r="U230" s="23" t="str">
        <f>SUBSTITUTE(SUBSTITUTE(IF(H230=1,VLOOKUP(COUNTIF($H$2:H230,H230),Specyfikacja!$A$5:$D$99,4,0),IF(H230=2,VLOOKUP(COUNTIF($H$2:H230,H230),Specyfikacja!$A$5:$K$99,11,0),"")),"Tak","YES"),"Nie","NO")</f>
        <v/>
      </c>
      <c r="W230" s="646" t="str">
        <f t="shared" ca="1" si="74"/>
        <v>='ZAMÓWIENIE | WYCENA'!C184</v>
      </c>
      <c r="X230" s="646"/>
      <c r="Y230" s="646"/>
      <c r="Z230" s="650" t="s">
        <v>821</v>
      </c>
      <c r="AA230" s="647">
        <f t="shared" ca="1" si="77"/>
        <v>32.700000000000003</v>
      </c>
      <c r="AB230" s="647">
        <f t="shared" ca="1" si="77"/>
        <v>0</v>
      </c>
      <c r="AC230" s="647">
        <f t="shared" ca="1" si="77"/>
        <v>0</v>
      </c>
      <c r="AD230" s="646" t="str">
        <f t="shared" si="75"/>
        <v>1004-000-000X-LIW000</v>
      </c>
      <c r="AE230" s="648">
        <f t="shared" ca="1" si="76"/>
        <v>32.700000000000003</v>
      </c>
    </row>
    <row r="231" spans="1:31" s="7" customFormat="1" ht="12">
      <c r="A231" s="23"/>
      <c r="B231" s="23"/>
      <c r="C231" s="15"/>
      <c r="D231" s="13"/>
      <c r="E231" s="13"/>
      <c r="F231" s="13"/>
      <c r="G231" s="13"/>
      <c r="H231" s="24" t="str">
        <f>IFERROR(IF(COUNTIFS($H$1:H230,H230)&gt;=VLOOKUP(H230,$A$2:$D$309,4,0),IF(H230=MAX($A$2:$A$317),"",Lista!H230+1),H230),"")</f>
        <v/>
      </c>
      <c r="I231" s="22" t="str">
        <f t="shared" si="78"/>
        <v/>
      </c>
      <c r="J231" s="24" t="str">
        <f t="shared" si="79"/>
        <v/>
      </c>
      <c r="K231" s="25" t="str">
        <f t="shared" si="87"/>
        <v/>
      </c>
      <c r="L231" s="26" t="str">
        <f t="shared" si="88"/>
        <v/>
      </c>
      <c r="M231" s="26" t="str">
        <f t="shared" si="80"/>
        <v/>
      </c>
      <c r="N231" s="26" t="str">
        <f t="shared" si="81"/>
        <v/>
      </c>
      <c r="O231" s="26" t="str">
        <f t="shared" si="82"/>
        <v/>
      </c>
      <c r="P231" s="25" t="str">
        <f t="shared" si="83"/>
        <v/>
      </c>
      <c r="Q231" s="27" t="str">
        <f t="shared" si="89"/>
        <v/>
      </c>
      <c r="R231" s="26" t="str">
        <f t="shared" si="90"/>
        <v/>
      </c>
      <c r="S231" s="23" t="str">
        <f>IF(H231=1,VLOOKUP(COUNTIF($H$2:H231,H231),Specyfikacja!$A$5:$D$99,2,0),IF(H231=2,VLOOKUP(COUNTIF($H$2:H231,H231),Specyfikacja!$A$5:$K$99,9,0),""))</f>
        <v/>
      </c>
      <c r="T231" s="23" t="str">
        <f>IF(H231=1,VLOOKUP(COUNTIF($H$2:H231,H231),Specyfikacja!$A$5:$D$99,3,0),IF(H231=2,VLOOKUP(COUNTIF($H$2:H231,H231),Specyfikacja!$A$5:$K$99,10,0),""))</f>
        <v/>
      </c>
      <c r="U231" s="23" t="str">
        <f>SUBSTITUTE(SUBSTITUTE(IF(H231=1,VLOOKUP(COUNTIF($H$2:H231,H231),Specyfikacja!$A$5:$D$99,4,0),IF(H231=2,VLOOKUP(COUNTIF($H$2:H231,H231),Specyfikacja!$A$5:$K$99,11,0),"")),"Tak","YES"),"Nie","NO")</f>
        <v/>
      </c>
    </row>
    <row r="232" spans="1:31" s="7" customFormat="1" ht="12">
      <c r="A232" s="23"/>
      <c r="B232" s="23"/>
      <c r="C232" s="15"/>
      <c r="D232" s="13"/>
      <c r="E232" s="13"/>
      <c r="F232" s="13"/>
      <c r="G232" s="13"/>
      <c r="H232" s="24" t="str">
        <f>IFERROR(IF(COUNTIFS($H$1:H231,H231)&gt;=VLOOKUP(H231,$A$2:$D$309,4,0),IF(H231=MAX($A$2:$A$317),"",Lista!H231+1),H231),"")</f>
        <v/>
      </c>
      <c r="I232" s="22" t="str">
        <f t="shared" si="78"/>
        <v/>
      </c>
      <c r="J232" s="24" t="str">
        <f t="shared" si="79"/>
        <v/>
      </c>
      <c r="K232" s="25" t="str">
        <f t="shared" si="87"/>
        <v/>
      </c>
      <c r="L232" s="26" t="str">
        <f t="shared" si="88"/>
        <v/>
      </c>
      <c r="M232" s="26" t="str">
        <f t="shared" si="80"/>
        <v/>
      </c>
      <c r="N232" s="26" t="str">
        <f t="shared" si="81"/>
        <v/>
      </c>
      <c r="O232" s="26" t="str">
        <f t="shared" si="82"/>
        <v/>
      </c>
      <c r="P232" s="25" t="str">
        <f t="shared" si="83"/>
        <v/>
      </c>
      <c r="Q232" s="27" t="str">
        <f t="shared" si="89"/>
        <v/>
      </c>
      <c r="R232" s="26" t="str">
        <f t="shared" si="90"/>
        <v/>
      </c>
      <c r="S232" s="23" t="str">
        <f>IF(H232=1,VLOOKUP(COUNTIF($H$2:H232,H232),Specyfikacja!$A$5:$D$99,2,0),IF(H232=2,VLOOKUP(COUNTIF($H$2:H232,H232),Specyfikacja!$A$5:$K$99,9,0),""))</f>
        <v/>
      </c>
      <c r="T232" s="23" t="str">
        <f>IF(H232=1,VLOOKUP(COUNTIF($H$2:H232,H232),Specyfikacja!$A$5:$D$99,3,0),IF(H232=2,VLOOKUP(COUNTIF($H$2:H232,H232),Specyfikacja!$A$5:$K$99,10,0),""))</f>
        <v/>
      </c>
      <c r="U232" s="23" t="str">
        <f>SUBSTITUTE(SUBSTITUTE(IF(H232=1,VLOOKUP(COUNTIF($H$2:H232,H232),Specyfikacja!$A$5:$D$99,4,0),IF(H232=2,VLOOKUP(COUNTIF($H$2:H232,H232),Specyfikacja!$A$5:$K$99,11,0),"")),"Tak","YES"),"Nie","NO")</f>
        <v/>
      </c>
    </row>
    <row r="233" spans="1:31" s="7" customFormat="1" ht="12">
      <c r="A233" s="23"/>
      <c r="B233" s="13"/>
      <c r="C233" s="13"/>
      <c r="D233" s="13"/>
      <c r="E233" s="13"/>
      <c r="F233" s="13"/>
      <c r="G233" s="13"/>
      <c r="H233" s="24" t="str">
        <f>IFERROR(IF(COUNTIFS($H$1:H232,H232)&gt;=VLOOKUP(H232,$A$2:$D$309,4,0),IF(H232=MAX($A$2:$A$317),"",Lista!H232+1),H232),"")</f>
        <v/>
      </c>
      <c r="I233" s="22" t="str">
        <f t="shared" si="78"/>
        <v/>
      </c>
      <c r="J233" s="24" t="str">
        <f t="shared" si="79"/>
        <v/>
      </c>
      <c r="K233" s="25" t="str">
        <f t="shared" si="87"/>
        <v/>
      </c>
      <c r="L233" s="26" t="str">
        <f t="shared" si="88"/>
        <v/>
      </c>
      <c r="M233" s="26" t="str">
        <f t="shared" si="80"/>
        <v/>
      </c>
      <c r="N233" s="26" t="str">
        <f t="shared" si="81"/>
        <v/>
      </c>
      <c r="O233" s="26" t="str">
        <f t="shared" si="82"/>
        <v/>
      </c>
      <c r="P233" s="25" t="str">
        <f t="shared" si="83"/>
        <v/>
      </c>
      <c r="Q233" s="27" t="str">
        <f t="shared" si="89"/>
        <v/>
      </c>
      <c r="R233" s="26" t="str">
        <f t="shared" si="90"/>
        <v/>
      </c>
      <c r="S233" s="23" t="str">
        <f>IF(H233=1,VLOOKUP(COUNTIF($H$2:H233,H233),Specyfikacja!$A$5:$D$99,2,0),IF(H233=2,VLOOKUP(COUNTIF($H$2:H233,H233),Specyfikacja!$A$5:$K$99,9,0),""))</f>
        <v/>
      </c>
      <c r="T233" s="23" t="str">
        <f>IF(H233=1,VLOOKUP(COUNTIF($H$2:H233,H233),Specyfikacja!$A$5:$D$99,3,0),IF(H233=2,VLOOKUP(COUNTIF($H$2:H233,H233),Specyfikacja!$A$5:$K$99,10,0),""))</f>
        <v/>
      </c>
      <c r="U233" s="23" t="str">
        <f>SUBSTITUTE(SUBSTITUTE(IF(H233=1,VLOOKUP(COUNTIF($H$2:H233,H233),Specyfikacja!$A$5:$D$99,4,0),IF(H233=2,VLOOKUP(COUNTIF($H$2:H233,H233),Specyfikacja!$A$5:$K$99,11,0),"")),"Tak","YES"),"Nie","NO")</f>
        <v/>
      </c>
    </row>
    <row r="234" spans="1:31" s="7" customFormat="1" ht="19.5">
      <c r="A234" s="17"/>
      <c r="B234" s="21">
        <f>'ZAMÓWIENIE | WYCENA'!D197</f>
        <v>0</v>
      </c>
      <c r="C234" s="198"/>
      <c r="D234" s="13"/>
      <c r="E234" s="13"/>
      <c r="F234" s="13"/>
      <c r="G234" s="13"/>
      <c r="H234" s="24" t="str">
        <f>IFERROR(IF(COUNTIFS($H$1:H233,H233)&gt;=VLOOKUP(H233,$A$2:$D$309,4,0),IF(H233=MAX($A$2:$A$317),"",Lista!H233+1),H233),"")</f>
        <v/>
      </c>
      <c r="I234" s="22" t="str">
        <f t="shared" si="78"/>
        <v/>
      </c>
      <c r="J234" s="24" t="str">
        <f t="shared" si="79"/>
        <v/>
      </c>
      <c r="K234" s="25" t="str">
        <f t="shared" si="87"/>
        <v/>
      </c>
      <c r="L234" s="26" t="str">
        <f t="shared" si="88"/>
        <v/>
      </c>
      <c r="M234" s="26" t="str">
        <f t="shared" si="80"/>
        <v/>
      </c>
      <c r="N234" s="26" t="str">
        <f t="shared" si="81"/>
        <v/>
      </c>
      <c r="O234" s="26" t="str">
        <f t="shared" si="82"/>
        <v/>
      </c>
      <c r="P234" s="25" t="str">
        <f t="shared" si="83"/>
        <v/>
      </c>
      <c r="Q234" s="27" t="str">
        <f t="shared" si="89"/>
        <v/>
      </c>
      <c r="R234" s="26" t="str">
        <f t="shared" si="90"/>
        <v/>
      </c>
      <c r="S234" s="23" t="str">
        <f>IF(H234=1,VLOOKUP(COUNTIF($H$2:H234,H234),Specyfikacja!$A$5:$D$99,2,0),IF(H234=2,VLOOKUP(COUNTIF($H$2:H234,H234),Specyfikacja!$A$5:$K$99,9,0),""))</f>
        <v/>
      </c>
      <c r="T234" s="23" t="str">
        <f>IF(H234=1,VLOOKUP(COUNTIF($H$2:H234,H234),Specyfikacja!$A$5:$D$99,3,0),IF(H234=2,VLOOKUP(COUNTIF($H$2:H234,H234),Specyfikacja!$A$5:$K$99,10,0),""))</f>
        <v/>
      </c>
      <c r="U234" s="23" t="str">
        <f>SUBSTITUTE(SUBSTITUTE(IF(H234=1,VLOOKUP(COUNTIF($H$2:H234,H234),Specyfikacja!$A$5:$D$99,4,0),IF(H234=2,VLOOKUP(COUNTIF($H$2:H234,H234),Specyfikacja!$A$5:$K$99,11,0),"")),"Tak","YES"),"Nie","NO")</f>
        <v/>
      </c>
    </row>
    <row r="235" spans="1:31" s="7" customFormat="1" ht="12">
      <c r="A235" s="552" t="s">
        <v>17</v>
      </c>
      <c r="B235" s="13"/>
      <c r="C235" s="13"/>
      <c r="D235" s="13"/>
      <c r="E235" s="13"/>
      <c r="F235" s="13"/>
      <c r="G235" s="13"/>
      <c r="H235" s="24" t="str">
        <f>IFERROR(IF(COUNTIFS($H$1:H234,H234)&gt;=VLOOKUP(H234,$A$2:$D$309,4,0),IF(H234=MAX($A$2:$A$317),"",Lista!H234+1),H234),"")</f>
        <v/>
      </c>
      <c r="I235" s="22" t="str">
        <f t="shared" si="78"/>
        <v/>
      </c>
      <c r="J235" s="24" t="str">
        <f t="shared" si="79"/>
        <v/>
      </c>
      <c r="K235" s="25" t="str">
        <f t="shared" si="87"/>
        <v/>
      </c>
      <c r="L235" s="26" t="str">
        <f t="shared" si="88"/>
        <v/>
      </c>
      <c r="M235" s="26" t="str">
        <f t="shared" si="80"/>
        <v/>
      </c>
      <c r="N235" s="26" t="str">
        <f t="shared" si="81"/>
        <v/>
      </c>
      <c r="O235" s="26" t="str">
        <f t="shared" si="82"/>
        <v/>
      </c>
      <c r="P235" s="25" t="str">
        <f t="shared" si="83"/>
        <v/>
      </c>
      <c r="Q235" s="27" t="str">
        <f t="shared" si="89"/>
        <v/>
      </c>
      <c r="R235" s="26" t="str">
        <f t="shared" si="90"/>
        <v/>
      </c>
      <c r="S235" s="23" t="str">
        <f>IF(H235=1,VLOOKUP(COUNTIF($H$2:H235,H235),Specyfikacja!$A$5:$D$99,2,0),IF(H235=2,VLOOKUP(COUNTIF($H$2:H235,H235),Specyfikacja!$A$5:$K$99,9,0),""))</f>
        <v/>
      </c>
      <c r="T235" s="23" t="str">
        <f>IF(H235=1,VLOOKUP(COUNTIF($H$2:H235,H235),Specyfikacja!$A$5:$D$99,3,0),IF(H235=2,VLOOKUP(COUNTIF($H$2:H235,H235),Specyfikacja!$A$5:$K$99,10,0),""))</f>
        <v/>
      </c>
      <c r="U235" s="23" t="str">
        <f>SUBSTITUTE(SUBSTITUTE(IF(H235=1,VLOOKUP(COUNTIF($H$2:H235,H235),Specyfikacja!$A$5:$D$99,4,0),IF(H235=2,VLOOKUP(COUNTIF($H$2:H235,H235),Specyfikacja!$A$5:$K$99,11,0),"")),"Tak","YES"),"Nie","NO")</f>
        <v/>
      </c>
    </row>
    <row r="236" spans="1:31" s="7" customFormat="1" ht="12">
      <c r="B236" s="18"/>
      <c r="C236" s="13"/>
      <c r="D236" s="13"/>
      <c r="E236" s="13"/>
      <c r="F236" s="13"/>
      <c r="G236" s="13"/>
      <c r="H236" s="24" t="str">
        <f>IFERROR(IF(COUNTIFS($H$1:H235,H235)&gt;=VLOOKUP(H235,$A$2:$D$309,4,0),IF(H235=MAX($A$2:$A$317),"",Lista!H235+1),H235),"")</f>
        <v/>
      </c>
      <c r="I236" s="22" t="str">
        <f t="shared" si="78"/>
        <v/>
      </c>
      <c r="J236" s="24" t="str">
        <f t="shared" si="79"/>
        <v/>
      </c>
      <c r="K236" s="25" t="str">
        <f t="shared" si="87"/>
        <v/>
      </c>
      <c r="L236" s="26" t="str">
        <f t="shared" si="88"/>
        <v/>
      </c>
      <c r="M236" s="26" t="str">
        <f t="shared" si="80"/>
        <v/>
      </c>
      <c r="N236" s="26" t="str">
        <f t="shared" si="81"/>
        <v/>
      </c>
      <c r="O236" s="26" t="str">
        <f t="shared" si="82"/>
        <v/>
      </c>
      <c r="P236" s="25" t="str">
        <f t="shared" si="83"/>
        <v/>
      </c>
      <c r="Q236" s="27" t="str">
        <f t="shared" si="89"/>
        <v/>
      </c>
      <c r="R236" s="26" t="str">
        <f t="shared" si="90"/>
        <v/>
      </c>
      <c r="S236" s="23" t="str">
        <f>IF(H236=1,VLOOKUP(COUNTIF($H$2:H236,H236),Specyfikacja!$A$5:$D$99,2,0),IF(H236=2,VLOOKUP(COUNTIF($H$2:H236,H236),Specyfikacja!$A$5:$K$99,9,0),""))</f>
        <v/>
      </c>
      <c r="T236" s="23" t="str">
        <f>IF(H236=1,VLOOKUP(COUNTIF($H$2:H236,H236),Specyfikacja!$A$5:$D$99,3,0),IF(H236=2,VLOOKUP(COUNTIF($H$2:H236,H236),Specyfikacja!$A$5:$K$99,10,0),""))</f>
        <v/>
      </c>
      <c r="U236" s="23" t="str">
        <f>SUBSTITUTE(SUBSTITUTE(IF(H236=1,VLOOKUP(COUNTIF($H$2:H236,H236),Specyfikacja!$A$5:$D$99,4,0),IF(H236=2,VLOOKUP(COUNTIF($H$2:H236,H236),Specyfikacja!$A$5:$K$99,11,0),"")),"Tak","YES"),"Nie","NO")</f>
        <v/>
      </c>
    </row>
    <row r="237" spans="1:31" s="7" customFormat="1" ht="12">
      <c r="B237" s="13"/>
      <c r="C237" s="13"/>
      <c r="D237" s="13"/>
      <c r="E237" s="13"/>
      <c r="F237" s="13"/>
      <c r="G237" s="13"/>
      <c r="H237" s="24" t="str">
        <f>IFERROR(IF(COUNTIFS($H$1:H236,H236)&gt;=VLOOKUP(H236,$A$2:$D$309,4,0),IF(H236=MAX($A$2:$A$317),"",Lista!H236+1),H236),"")</f>
        <v/>
      </c>
      <c r="I237" s="22" t="str">
        <f t="shared" si="78"/>
        <v/>
      </c>
      <c r="J237" s="24" t="str">
        <f t="shared" si="79"/>
        <v/>
      </c>
      <c r="K237" s="25" t="str">
        <f t="shared" si="87"/>
        <v/>
      </c>
      <c r="L237" s="26" t="str">
        <f t="shared" si="88"/>
        <v/>
      </c>
      <c r="M237" s="26" t="str">
        <f t="shared" si="80"/>
        <v/>
      </c>
      <c r="N237" s="26" t="str">
        <f t="shared" si="81"/>
        <v/>
      </c>
      <c r="O237" s="26" t="str">
        <f t="shared" si="82"/>
        <v/>
      </c>
      <c r="P237" s="25" t="str">
        <f t="shared" si="83"/>
        <v/>
      </c>
      <c r="Q237" s="27" t="str">
        <f t="shared" si="89"/>
        <v/>
      </c>
      <c r="R237" s="26" t="str">
        <f t="shared" si="90"/>
        <v/>
      </c>
      <c r="S237" s="23" t="str">
        <f>IF(H237=1,VLOOKUP(COUNTIF($H$2:H237,H237),Specyfikacja!$A$5:$D$99,2,0),IF(H237=2,VLOOKUP(COUNTIF($H$2:H237,H237),Specyfikacja!$A$5:$K$99,9,0),""))</f>
        <v/>
      </c>
      <c r="T237" s="23" t="str">
        <f>IF(H237=1,VLOOKUP(COUNTIF($H$2:H237,H237),Specyfikacja!$A$5:$D$99,3,0),IF(H237=2,VLOOKUP(COUNTIF($H$2:H237,H237),Specyfikacja!$A$5:$K$99,10,0),""))</f>
        <v/>
      </c>
      <c r="U237" s="23" t="str">
        <f>SUBSTITUTE(SUBSTITUTE(IF(H237=1,VLOOKUP(COUNTIF($H$2:H237,H237),Specyfikacja!$A$5:$D$99,4,0),IF(H237=2,VLOOKUP(COUNTIF($H$2:H237,H237),Specyfikacja!$A$5:$K$99,11,0),"")),"Tak","YES"),"Nie","NO")</f>
        <v/>
      </c>
    </row>
    <row r="238" spans="1:31" s="7" customFormat="1" ht="12">
      <c r="A238" s="13"/>
      <c r="B238" s="13"/>
      <c r="C238" s="13"/>
      <c r="D238" s="13"/>
      <c r="E238" s="13"/>
      <c r="F238" s="13"/>
      <c r="G238" s="13"/>
      <c r="H238" s="24" t="str">
        <f>IFERROR(IF(COUNTIFS($H$1:H237,H237)&gt;=VLOOKUP(H237,$A$2:$D$309,4,0),IF(H237=MAX($A$2:$A$317),"",Lista!H237+1),H237),"")</f>
        <v/>
      </c>
      <c r="I238" s="22" t="str">
        <f t="shared" si="78"/>
        <v/>
      </c>
      <c r="J238" s="24" t="str">
        <f t="shared" si="79"/>
        <v/>
      </c>
      <c r="K238" s="25" t="str">
        <f t="shared" si="87"/>
        <v/>
      </c>
      <c r="L238" s="26" t="str">
        <f t="shared" si="88"/>
        <v/>
      </c>
      <c r="M238" s="26" t="str">
        <f t="shared" si="80"/>
        <v/>
      </c>
      <c r="N238" s="26" t="str">
        <f t="shared" si="81"/>
        <v/>
      </c>
      <c r="O238" s="26" t="str">
        <f t="shared" si="82"/>
        <v/>
      </c>
      <c r="P238" s="25" t="str">
        <f t="shared" si="83"/>
        <v/>
      </c>
      <c r="Q238" s="27" t="str">
        <f t="shared" si="89"/>
        <v/>
      </c>
      <c r="R238" s="26" t="str">
        <f t="shared" si="90"/>
        <v/>
      </c>
      <c r="S238" s="23" t="str">
        <f>IF(H238=1,VLOOKUP(COUNTIF($H$2:H238,H238),Specyfikacja!$A$5:$D$99,2,0),IF(H238=2,VLOOKUP(COUNTIF($H$2:H238,H238),Specyfikacja!$A$5:$K$99,9,0),""))</f>
        <v/>
      </c>
      <c r="T238" s="23" t="str">
        <f>IF(H238=1,VLOOKUP(COUNTIF($H$2:H238,H238),Specyfikacja!$A$5:$D$99,3,0),IF(H238=2,VLOOKUP(COUNTIF($H$2:H238,H238),Specyfikacja!$A$5:$K$99,10,0),""))</f>
        <v/>
      </c>
      <c r="U238" s="23" t="str">
        <f>SUBSTITUTE(SUBSTITUTE(IF(H238=1,VLOOKUP(COUNTIF($H$2:H238,H238),Specyfikacja!$A$5:$D$99,4,0),IF(H238=2,VLOOKUP(COUNTIF($H$2:H238,H238),Specyfikacja!$A$5:$K$99,11,0),"")),"Tak","YES"),"Nie","NO")</f>
        <v/>
      </c>
    </row>
    <row r="239" spans="1:31" s="7" customFormat="1" ht="12">
      <c r="A239" s="13"/>
      <c r="B239" s="13"/>
      <c r="C239" s="13"/>
      <c r="D239" s="13"/>
      <c r="E239" s="13"/>
      <c r="F239" s="13"/>
      <c r="G239" s="13"/>
      <c r="H239" s="24" t="str">
        <f>IFERROR(IF(COUNTIFS($H$1:H238,H238)&gt;=VLOOKUP(H238,$A$2:$D$309,4,0),IF(H238=MAX($A$2:$A$317),"",Lista!H238+1),H238),"")</f>
        <v/>
      </c>
      <c r="I239" s="22" t="str">
        <f t="shared" si="78"/>
        <v/>
      </c>
      <c r="J239" s="24" t="str">
        <f t="shared" si="79"/>
        <v/>
      </c>
      <c r="K239" s="25" t="str">
        <f t="shared" si="87"/>
        <v/>
      </c>
      <c r="L239" s="26" t="str">
        <f t="shared" si="88"/>
        <v/>
      </c>
      <c r="M239" s="26" t="str">
        <f t="shared" si="80"/>
        <v/>
      </c>
      <c r="N239" s="26" t="str">
        <f t="shared" si="81"/>
        <v/>
      </c>
      <c r="O239" s="26" t="str">
        <f t="shared" si="82"/>
        <v/>
      </c>
      <c r="P239" s="25" t="str">
        <f t="shared" si="83"/>
        <v/>
      </c>
      <c r="Q239" s="27" t="str">
        <f t="shared" si="89"/>
        <v/>
      </c>
      <c r="R239" s="26" t="str">
        <f t="shared" si="90"/>
        <v/>
      </c>
      <c r="S239" s="23" t="str">
        <f>IF(H239=1,VLOOKUP(COUNTIF($H$2:H239,H239),Specyfikacja!$A$5:$D$99,2,0),IF(H239=2,VLOOKUP(COUNTIF($H$2:H239,H239),Specyfikacja!$A$5:$K$99,9,0),""))</f>
        <v/>
      </c>
      <c r="T239" s="23" t="str">
        <f>IF(H239=1,VLOOKUP(COUNTIF($H$2:H239,H239),Specyfikacja!$A$5:$D$99,3,0),IF(H239=2,VLOOKUP(COUNTIF($H$2:H239,H239),Specyfikacja!$A$5:$K$99,10,0),""))</f>
        <v/>
      </c>
      <c r="U239" s="23" t="str">
        <f>SUBSTITUTE(SUBSTITUTE(IF(H239=1,VLOOKUP(COUNTIF($H$2:H239,H239),Specyfikacja!$A$5:$D$99,4,0),IF(H239=2,VLOOKUP(COUNTIF($H$2:H239,H239),Specyfikacja!$A$5:$K$99,11,0),"")),"Tak","YES"),"Nie","NO")</f>
        <v/>
      </c>
    </row>
    <row r="240" spans="1:31" s="7" customFormat="1" ht="12">
      <c r="A240" s="13"/>
      <c r="B240" s="13"/>
      <c r="C240" s="13"/>
      <c r="D240" s="13"/>
      <c r="E240" s="13"/>
      <c r="F240" s="13"/>
      <c r="G240" s="13"/>
      <c r="H240" s="24" t="str">
        <f>IFERROR(IF(COUNTIFS($H$1:H239,H239)&gt;=VLOOKUP(H239,$A$2:$D$309,4,0),IF(H239=MAX($A$2:$A$317),"",Lista!H239+1),H239),"")</f>
        <v/>
      </c>
      <c r="I240" s="22" t="str">
        <f t="shared" si="78"/>
        <v/>
      </c>
      <c r="J240" s="24" t="str">
        <f t="shared" si="79"/>
        <v/>
      </c>
      <c r="K240" s="25" t="str">
        <f t="shared" si="87"/>
        <v/>
      </c>
      <c r="L240" s="26" t="str">
        <f t="shared" si="88"/>
        <v/>
      </c>
      <c r="M240" s="26" t="str">
        <f t="shared" si="80"/>
        <v/>
      </c>
      <c r="N240" s="26" t="str">
        <f t="shared" si="81"/>
        <v/>
      </c>
      <c r="O240" s="26" t="str">
        <f t="shared" si="82"/>
        <v/>
      </c>
      <c r="P240" s="25" t="str">
        <f t="shared" si="83"/>
        <v/>
      </c>
      <c r="Q240" s="27" t="str">
        <f t="shared" si="89"/>
        <v/>
      </c>
      <c r="R240" s="26" t="str">
        <f t="shared" si="90"/>
        <v/>
      </c>
      <c r="S240" s="23" t="str">
        <f>IF(H240=1,VLOOKUP(COUNTIF($H$2:H240,H240),Specyfikacja!$A$5:$D$99,2,0),IF(H240=2,VLOOKUP(COUNTIF($H$2:H240,H240),Specyfikacja!$A$5:$K$99,9,0),""))</f>
        <v/>
      </c>
      <c r="T240" s="23" t="str">
        <f>IF(H240=1,VLOOKUP(COUNTIF($H$2:H240,H240),Specyfikacja!$A$5:$D$99,3,0),IF(H240=2,VLOOKUP(COUNTIF($H$2:H240,H240),Specyfikacja!$A$5:$K$99,10,0),""))</f>
        <v/>
      </c>
      <c r="U240" s="23" t="str">
        <f>SUBSTITUTE(SUBSTITUTE(IF(H240=1,VLOOKUP(COUNTIF($H$2:H240,H240),Specyfikacja!$A$5:$D$99,4,0),IF(H240=2,VLOOKUP(COUNTIF($H$2:H240,H240),Specyfikacja!$A$5:$K$99,11,0),"")),"Tak","YES"),"Nie","NO")</f>
        <v/>
      </c>
    </row>
    <row r="241" spans="1:21" s="7" customFormat="1" ht="12">
      <c r="A241" s="13"/>
      <c r="B241" s="13"/>
      <c r="C241" s="13"/>
      <c r="D241" s="13"/>
      <c r="E241" s="13"/>
      <c r="F241" s="13"/>
      <c r="G241" s="13"/>
      <c r="H241" s="24" t="str">
        <f>IFERROR(IF(COUNTIFS($H$1:H240,H240)&gt;=VLOOKUP(H240,$A$2:$D$309,4,0),IF(H240=MAX($A$2:$A$317),"",Lista!H240+1),H240),"")</f>
        <v/>
      </c>
      <c r="I241" s="22" t="str">
        <f t="shared" si="78"/>
        <v/>
      </c>
      <c r="J241" s="24" t="str">
        <f t="shared" si="79"/>
        <v/>
      </c>
      <c r="K241" s="25" t="str">
        <f t="shared" si="87"/>
        <v/>
      </c>
      <c r="L241" s="26" t="str">
        <f t="shared" si="88"/>
        <v/>
      </c>
      <c r="M241" s="26" t="str">
        <f t="shared" si="80"/>
        <v/>
      </c>
      <c r="N241" s="26" t="str">
        <f t="shared" si="81"/>
        <v/>
      </c>
      <c r="O241" s="26" t="str">
        <f t="shared" si="82"/>
        <v/>
      </c>
      <c r="P241" s="25" t="str">
        <f t="shared" si="83"/>
        <v/>
      </c>
      <c r="Q241" s="27" t="str">
        <f t="shared" si="89"/>
        <v/>
      </c>
      <c r="R241" s="26" t="str">
        <f t="shared" si="90"/>
        <v/>
      </c>
      <c r="S241" s="23" t="str">
        <f>IF(H241=1,VLOOKUP(COUNTIF($H$2:H241,H241),Specyfikacja!$A$5:$D$99,2,0),IF(H241=2,VLOOKUP(COUNTIF($H$2:H241,H241),Specyfikacja!$A$5:$K$99,9,0),""))</f>
        <v/>
      </c>
      <c r="T241" s="23" t="str">
        <f>IF(H241=1,VLOOKUP(COUNTIF($H$2:H241,H241),Specyfikacja!$A$5:$D$99,3,0),IF(H241=2,VLOOKUP(COUNTIF($H$2:H241,H241),Specyfikacja!$A$5:$K$99,10,0),""))</f>
        <v/>
      </c>
      <c r="U241" s="23" t="str">
        <f>SUBSTITUTE(SUBSTITUTE(IF(H241=1,VLOOKUP(COUNTIF($H$2:H241,H241),Specyfikacja!$A$5:$D$99,4,0),IF(H241=2,VLOOKUP(COUNTIF($H$2:H241,H241),Specyfikacja!$A$5:$K$99,11,0),"")),"Tak","YES"),"Nie","NO")</f>
        <v/>
      </c>
    </row>
    <row r="242" spans="1:21" s="7" customFormat="1" ht="12" customHeight="1">
      <c r="A242" s="13"/>
      <c r="B242" s="13"/>
      <c r="C242" s="13"/>
      <c r="D242" s="13"/>
      <c r="E242" s="13"/>
      <c r="F242" s="13"/>
      <c r="G242" s="13"/>
      <c r="H242" s="24" t="str">
        <f>IFERROR(IF(COUNTIFS($H$1:H241,H241)&gt;=VLOOKUP(H241,$A$2:$D$309,4,0),IF(H241=MAX($A$2:$A$317),"",Lista!H241+1),H241),"")</f>
        <v/>
      </c>
      <c r="I242" s="22" t="str">
        <f t="shared" si="78"/>
        <v/>
      </c>
      <c r="J242" s="24" t="str">
        <f t="shared" si="79"/>
        <v/>
      </c>
      <c r="K242" s="25" t="str">
        <f t="shared" si="87"/>
        <v/>
      </c>
      <c r="L242" s="26" t="str">
        <f t="shared" si="88"/>
        <v/>
      </c>
      <c r="M242" s="26" t="str">
        <f t="shared" si="80"/>
        <v/>
      </c>
      <c r="N242" s="26" t="str">
        <f t="shared" si="81"/>
        <v/>
      </c>
      <c r="O242" s="26" t="str">
        <f t="shared" si="82"/>
        <v/>
      </c>
      <c r="P242" s="25" t="str">
        <f t="shared" si="83"/>
        <v/>
      </c>
      <c r="Q242" s="27" t="str">
        <f t="shared" si="89"/>
        <v/>
      </c>
      <c r="R242" s="26" t="str">
        <f t="shared" si="90"/>
        <v/>
      </c>
      <c r="S242" s="23" t="str">
        <f>IF(H242=1,VLOOKUP(COUNTIF($H$2:H242,H242),Specyfikacja!$A$5:$D$99,2,0),IF(H242=2,VLOOKUP(COUNTIF($H$2:H242,H242),Specyfikacja!$A$5:$K$99,9,0),""))</f>
        <v/>
      </c>
      <c r="T242" s="23" t="str">
        <f>IF(H242=1,VLOOKUP(COUNTIF($H$2:H242,H242),Specyfikacja!$A$5:$D$99,3,0),IF(H242=2,VLOOKUP(COUNTIF($H$2:H242,H242),Specyfikacja!$A$5:$K$99,10,0),""))</f>
        <v/>
      </c>
      <c r="U242" s="23" t="str">
        <f>SUBSTITUTE(SUBSTITUTE(IF(H242=1,VLOOKUP(COUNTIF($H$2:H242,H242),Specyfikacja!$A$5:$D$99,4,0),IF(H242=2,VLOOKUP(COUNTIF($H$2:H242,H242),Specyfikacja!$A$5:$K$99,11,0),"")),"Tak","YES"),"Nie","NO")</f>
        <v/>
      </c>
    </row>
    <row r="243" spans="1:21" s="7" customFormat="1" ht="12" customHeight="1">
      <c r="A243" s="13"/>
      <c r="B243" s="13"/>
      <c r="C243" s="13"/>
      <c r="D243" s="13"/>
      <c r="E243" s="13"/>
      <c r="F243" s="13"/>
      <c r="G243" s="13"/>
      <c r="H243" s="24" t="str">
        <f>IFERROR(IF(COUNTIFS($H$1:H242,H242)&gt;=VLOOKUP(H242,$A$2:$D$309,4,0),IF(H242=MAX($A$2:$A$317),"",Lista!H242+1),H242),"")</f>
        <v/>
      </c>
      <c r="I243" s="22" t="str">
        <f t="shared" si="78"/>
        <v/>
      </c>
      <c r="J243" s="24" t="str">
        <f t="shared" si="79"/>
        <v/>
      </c>
      <c r="K243" s="25" t="str">
        <f t="shared" si="87"/>
        <v/>
      </c>
      <c r="L243" s="26" t="str">
        <f t="shared" si="88"/>
        <v/>
      </c>
      <c r="M243" s="26" t="str">
        <f t="shared" si="80"/>
        <v/>
      </c>
      <c r="N243" s="26" t="str">
        <f t="shared" si="81"/>
        <v/>
      </c>
      <c r="O243" s="26" t="str">
        <f t="shared" si="82"/>
        <v/>
      </c>
      <c r="P243" s="25" t="str">
        <f t="shared" si="83"/>
        <v/>
      </c>
      <c r="Q243" s="27" t="str">
        <f t="shared" si="89"/>
        <v/>
      </c>
      <c r="R243" s="26" t="str">
        <f t="shared" si="90"/>
        <v/>
      </c>
      <c r="S243" s="23" t="str">
        <f>IF(H243=1,VLOOKUP(COUNTIF($H$2:H243,H243),Specyfikacja!$A$5:$D$99,2,0),IF(H243=2,VLOOKUP(COUNTIF($H$2:H243,H243),Specyfikacja!$A$5:$K$99,9,0),""))</f>
        <v/>
      </c>
      <c r="T243" s="23" t="str">
        <f>IF(H243=1,VLOOKUP(COUNTIF($H$2:H243,H243),Specyfikacja!$A$5:$D$99,3,0),IF(H243=2,VLOOKUP(COUNTIF($H$2:H243,H243),Specyfikacja!$A$5:$K$99,10,0),""))</f>
        <v/>
      </c>
      <c r="U243" s="23" t="str">
        <f>SUBSTITUTE(SUBSTITUTE(IF(H243=1,VLOOKUP(COUNTIF($H$2:H243,H243),Specyfikacja!$A$5:$D$99,4,0),IF(H243=2,VLOOKUP(COUNTIF($H$2:H243,H243),Specyfikacja!$A$5:$K$99,11,0),"")),"Tak","YES"),"Nie","NO")</f>
        <v/>
      </c>
    </row>
    <row r="244" spans="1:21" s="7" customFormat="1" ht="12" customHeight="1">
      <c r="A244" s="13"/>
      <c r="B244" s="13"/>
      <c r="C244" s="13"/>
      <c r="D244" s="13"/>
      <c r="E244" s="13"/>
      <c r="F244" s="13"/>
      <c r="G244" s="13"/>
      <c r="H244" s="24" t="str">
        <f>IFERROR(IF(COUNTIFS($H$1:H243,H243)&gt;=VLOOKUP(H243,$A$2:$D$309,4,0),IF(H243=MAX($A$2:$A$317),"",Lista!H243+1),H243),"")</f>
        <v/>
      </c>
      <c r="I244" s="22" t="str">
        <f t="shared" si="78"/>
        <v/>
      </c>
      <c r="J244" s="24" t="str">
        <f t="shared" si="79"/>
        <v/>
      </c>
      <c r="K244" s="25" t="str">
        <f t="shared" si="87"/>
        <v/>
      </c>
      <c r="L244" s="26" t="str">
        <f t="shared" si="88"/>
        <v/>
      </c>
      <c r="M244" s="26" t="str">
        <f t="shared" si="80"/>
        <v/>
      </c>
      <c r="N244" s="26" t="str">
        <f t="shared" si="81"/>
        <v/>
      </c>
      <c r="O244" s="26" t="str">
        <f t="shared" si="82"/>
        <v/>
      </c>
      <c r="P244" s="25" t="str">
        <f t="shared" si="83"/>
        <v/>
      </c>
      <c r="Q244" s="27" t="str">
        <f t="shared" si="89"/>
        <v/>
      </c>
      <c r="R244" s="26" t="str">
        <f t="shared" si="90"/>
        <v/>
      </c>
      <c r="S244" s="23" t="str">
        <f>IF(H244=1,VLOOKUP(COUNTIF($H$2:H244,H244),Specyfikacja!$A$5:$D$99,2,0),IF(H244=2,VLOOKUP(COUNTIF($H$2:H244,H244),Specyfikacja!$A$5:$K$99,9,0),""))</f>
        <v/>
      </c>
      <c r="T244" s="23" t="str">
        <f>IF(H244=1,VLOOKUP(COUNTIF($H$2:H244,H244),Specyfikacja!$A$5:$D$99,3,0),IF(H244=2,VLOOKUP(COUNTIF($H$2:H244,H244),Specyfikacja!$A$5:$K$99,10,0),""))</f>
        <v/>
      </c>
      <c r="U244" s="23" t="str">
        <f>SUBSTITUTE(SUBSTITUTE(IF(H244=1,VLOOKUP(COUNTIF($H$2:H244,H244),Specyfikacja!$A$5:$D$99,4,0),IF(H244=2,VLOOKUP(COUNTIF($H$2:H244,H244),Specyfikacja!$A$5:$K$99,11,0),"")),"Tak","YES"),"Nie","NO")</f>
        <v/>
      </c>
    </row>
    <row r="245" spans="1:21" s="7" customFormat="1" ht="12" customHeight="1">
      <c r="A245" s="13"/>
      <c r="B245" s="13"/>
      <c r="C245" s="13"/>
      <c r="D245" s="13"/>
      <c r="E245" s="13"/>
      <c r="F245" s="13"/>
      <c r="G245" s="13"/>
      <c r="H245" s="24" t="str">
        <f>IFERROR(IF(COUNTIFS($H$1:H244,H244)&gt;=VLOOKUP(H244,$A$2:$D$309,4,0),IF(H244=MAX($A$2:$A$317),"",Lista!H244+1),H244),"")</f>
        <v/>
      </c>
      <c r="I245" s="22" t="str">
        <f t="shared" si="78"/>
        <v/>
      </c>
      <c r="J245" s="24" t="str">
        <f t="shared" si="79"/>
        <v/>
      </c>
      <c r="K245" s="25" t="str">
        <f t="shared" si="87"/>
        <v/>
      </c>
      <c r="L245" s="26" t="str">
        <f t="shared" si="88"/>
        <v/>
      </c>
      <c r="M245" s="26" t="str">
        <f t="shared" si="80"/>
        <v/>
      </c>
      <c r="N245" s="26" t="str">
        <f t="shared" si="81"/>
        <v/>
      </c>
      <c r="O245" s="26" t="str">
        <f t="shared" si="82"/>
        <v/>
      </c>
      <c r="P245" s="25" t="str">
        <f t="shared" si="83"/>
        <v/>
      </c>
      <c r="Q245" s="27" t="str">
        <f t="shared" si="89"/>
        <v/>
      </c>
      <c r="R245" s="26" t="str">
        <f t="shared" si="90"/>
        <v/>
      </c>
      <c r="S245" s="23" t="str">
        <f>IF(H245=1,VLOOKUP(COUNTIF($H$2:H245,H245),Specyfikacja!$A$5:$D$99,2,0),IF(H245=2,VLOOKUP(COUNTIF($H$2:H245,H245),Specyfikacja!$A$5:$K$99,9,0),""))</f>
        <v/>
      </c>
      <c r="T245" s="23" t="str">
        <f>IF(H245=1,VLOOKUP(COUNTIF($H$2:H245,H245),Specyfikacja!$A$5:$D$99,3,0),IF(H245=2,VLOOKUP(COUNTIF($H$2:H245,H245),Specyfikacja!$A$5:$K$99,10,0),""))</f>
        <v/>
      </c>
      <c r="U245" s="23" t="str">
        <f>SUBSTITUTE(SUBSTITUTE(IF(H245=1,VLOOKUP(COUNTIF($H$2:H245,H245),Specyfikacja!$A$5:$D$99,4,0),IF(H245=2,VLOOKUP(COUNTIF($H$2:H245,H245),Specyfikacja!$A$5:$K$99,11,0),"")),"Tak","YES"),"Nie","NO")</f>
        <v/>
      </c>
    </row>
    <row r="246" spans="1:21" s="7" customFormat="1" ht="12" customHeight="1">
      <c r="A246" s="13"/>
      <c r="B246" s="13"/>
      <c r="C246" s="13"/>
      <c r="D246" s="13"/>
      <c r="E246" s="13"/>
      <c r="F246" s="13"/>
      <c r="G246" s="13"/>
      <c r="H246" s="24" t="str">
        <f>IFERROR(IF(COUNTIFS($H$1:H245,H245)&gt;=VLOOKUP(H245,$A$2:$D$309,4,0),IF(H245=MAX($A$2:$A$317),"",Lista!H245+1),H245),"")</f>
        <v/>
      </c>
      <c r="I246" s="22" t="str">
        <f t="shared" si="78"/>
        <v/>
      </c>
      <c r="J246" s="24" t="str">
        <f t="shared" si="79"/>
        <v/>
      </c>
      <c r="K246" s="25" t="str">
        <f t="shared" si="87"/>
        <v/>
      </c>
      <c r="L246" s="26" t="str">
        <f t="shared" si="88"/>
        <v/>
      </c>
      <c r="M246" s="26" t="str">
        <f t="shared" si="80"/>
        <v/>
      </c>
      <c r="N246" s="26" t="str">
        <f t="shared" si="81"/>
        <v/>
      </c>
      <c r="O246" s="26" t="str">
        <f t="shared" si="82"/>
        <v/>
      </c>
      <c r="P246" s="25" t="str">
        <f t="shared" si="83"/>
        <v/>
      </c>
      <c r="Q246" s="27" t="str">
        <f t="shared" si="89"/>
        <v/>
      </c>
      <c r="R246" s="26" t="str">
        <f t="shared" si="90"/>
        <v/>
      </c>
      <c r="S246" s="23" t="str">
        <f>IF(H246=1,VLOOKUP(COUNTIF($H$2:H246,H246),Specyfikacja!$A$5:$D$99,2,0),IF(H246=2,VLOOKUP(COUNTIF($H$2:H246,H246),Specyfikacja!$A$5:$K$99,9,0),""))</f>
        <v/>
      </c>
      <c r="T246" s="23" t="str">
        <f>IF(H246=1,VLOOKUP(COUNTIF($H$2:H246,H246),Specyfikacja!$A$5:$D$99,3,0),IF(H246=2,VLOOKUP(COUNTIF($H$2:H246,H246),Specyfikacja!$A$5:$K$99,10,0),""))</f>
        <v/>
      </c>
      <c r="U246" s="23" t="str">
        <f>SUBSTITUTE(SUBSTITUTE(IF(H246=1,VLOOKUP(COUNTIF($H$2:H246,H246),Specyfikacja!$A$5:$D$99,4,0),IF(H246=2,VLOOKUP(COUNTIF($H$2:H246,H246),Specyfikacja!$A$5:$K$99,11,0),"")),"Tak","YES"),"Nie","NO")</f>
        <v/>
      </c>
    </row>
    <row r="247" spans="1:21" s="7" customFormat="1" ht="12" customHeight="1">
      <c r="A247" s="13"/>
      <c r="B247" s="13"/>
      <c r="C247" s="13"/>
      <c r="D247" s="13"/>
      <c r="E247" s="13"/>
      <c r="F247" s="13"/>
      <c r="G247" s="13"/>
      <c r="H247" s="24" t="str">
        <f>IFERROR(IF(COUNTIFS($H$1:H246,H246)&gt;=VLOOKUP(H246,$A$2:$D$309,4,0),IF(H246=MAX($A$2:$A$317),"",Lista!H246+1),H246),"")</f>
        <v/>
      </c>
      <c r="I247" s="22" t="str">
        <f t="shared" si="78"/>
        <v/>
      </c>
      <c r="J247" s="24" t="str">
        <f t="shared" si="79"/>
        <v/>
      </c>
      <c r="K247" s="25" t="str">
        <f t="shared" si="87"/>
        <v/>
      </c>
      <c r="L247" s="26" t="str">
        <f t="shared" si="88"/>
        <v/>
      </c>
      <c r="M247" s="26" t="str">
        <f t="shared" si="80"/>
        <v/>
      </c>
      <c r="N247" s="26" t="str">
        <f t="shared" si="81"/>
        <v/>
      </c>
      <c r="O247" s="26" t="str">
        <f t="shared" si="82"/>
        <v/>
      </c>
      <c r="P247" s="25" t="str">
        <f t="shared" si="83"/>
        <v/>
      </c>
      <c r="Q247" s="27" t="str">
        <f t="shared" si="89"/>
        <v/>
      </c>
      <c r="R247" s="26" t="str">
        <f t="shared" si="90"/>
        <v/>
      </c>
      <c r="S247" s="23" t="str">
        <f>IF(H247=1,VLOOKUP(COUNTIF($H$2:H247,H247),Specyfikacja!$A$5:$D$99,2,0),IF(H247=2,VLOOKUP(COUNTIF($H$2:H247,H247),Specyfikacja!$A$5:$K$99,9,0),""))</f>
        <v/>
      </c>
      <c r="T247" s="23" t="str">
        <f>IF(H247=1,VLOOKUP(COUNTIF($H$2:H247,H247),Specyfikacja!$A$5:$D$99,3,0),IF(H247=2,VLOOKUP(COUNTIF($H$2:H247,H247),Specyfikacja!$A$5:$K$99,10,0),""))</f>
        <v/>
      </c>
      <c r="U247" s="23" t="str">
        <f>SUBSTITUTE(SUBSTITUTE(IF(H247=1,VLOOKUP(COUNTIF($H$2:H247,H247),Specyfikacja!$A$5:$D$99,4,0),IF(H247=2,VLOOKUP(COUNTIF($H$2:H247,H247),Specyfikacja!$A$5:$K$99,11,0),"")),"Tak","YES"),"Nie","NO")</f>
        <v/>
      </c>
    </row>
    <row r="248" spans="1:21" s="7" customFormat="1" ht="12" customHeight="1">
      <c r="A248" s="13"/>
      <c r="B248" s="13"/>
      <c r="C248" s="13"/>
      <c r="D248" s="13"/>
      <c r="E248" s="13"/>
      <c r="F248" s="13"/>
      <c r="G248" s="13"/>
      <c r="H248" s="24" t="str">
        <f>IFERROR(IF(COUNTIFS($H$1:H247,H247)&gt;=VLOOKUP(H247,$A$2:$D$309,4,0),IF(H247=MAX($A$2:$A$317),"",Lista!H247+1),H247),"")</f>
        <v/>
      </c>
      <c r="I248" s="22" t="str">
        <f t="shared" si="78"/>
        <v/>
      </c>
      <c r="J248" s="24" t="str">
        <f t="shared" si="79"/>
        <v/>
      </c>
      <c r="K248" s="25" t="str">
        <f t="shared" si="87"/>
        <v/>
      </c>
      <c r="L248" s="26" t="str">
        <f t="shared" si="88"/>
        <v/>
      </c>
      <c r="M248" s="26" t="str">
        <f t="shared" si="80"/>
        <v/>
      </c>
      <c r="N248" s="26" t="str">
        <f t="shared" si="81"/>
        <v/>
      </c>
      <c r="O248" s="26" t="str">
        <f t="shared" si="82"/>
        <v/>
      </c>
      <c r="P248" s="25" t="str">
        <f t="shared" si="83"/>
        <v/>
      </c>
      <c r="Q248" s="27" t="str">
        <f t="shared" si="89"/>
        <v/>
      </c>
      <c r="R248" s="26" t="str">
        <f t="shared" si="90"/>
        <v/>
      </c>
      <c r="S248" s="23" t="str">
        <f>IF(H248=1,VLOOKUP(COUNTIF($H$2:H248,H248),Specyfikacja!$A$5:$D$99,2,0),IF(H248=2,VLOOKUP(COUNTIF($H$2:H248,H248),Specyfikacja!$A$5:$K$99,9,0),""))</f>
        <v/>
      </c>
      <c r="T248" s="23" t="str">
        <f>IF(H248=1,VLOOKUP(COUNTIF($H$2:H248,H248),Specyfikacja!$A$5:$D$99,3,0),IF(H248=2,VLOOKUP(COUNTIF($H$2:H248,H248),Specyfikacja!$A$5:$K$99,10,0),""))</f>
        <v/>
      </c>
      <c r="U248" s="23" t="str">
        <f>SUBSTITUTE(SUBSTITUTE(IF(H248=1,VLOOKUP(COUNTIF($H$2:H248,H248),Specyfikacja!$A$5:$D$99,4,0),IF(H248=2,VLOOKUP(COUNTIF($H$2:H248,H248),Specyfikacja!$A$5:$K$99,11,0),"")),"Tak","YES"),"Nie","NO")</f>
        <v/>
      </c>
    </row>
    <row r="249" spans="1:21" s="7" customFormat="1" ht="12">
      <c r="A249" s="13"/>
      <c r="B249" s="13"/>
      <c r="C249" s="13"/>
      <c r="D249" s="13"/>
      <c r="E249" s="13"/>
      <c r="F249" s="13"/>
      <c r="G249" s="13"/>
      <c r="H249" s="24" t="str">
        <f>IFERROR(IF(COUNTIFS($H$1:H248,H248)&gt;=VLOOKUP(H248,$A$2:$D$309,4,0),IF(H248=MAX($A$2:$A$317),"",Lista!H248+1),H248),"")</f>
        <v/>
      </c>
      <c r="I249" s="22" t="str">
        <f t="shared" si="78"/>
        <v/>
      </c>
      <c r="J249" s="24" t="str">
        <f t="shared" si="79"/>
        <v/>
      </c>
      <c r="K249" s="25" t="str">
        <f t="shared" si="87"/>
        <v/>
      </c>
      <c r="L249" s="26" t="str">
        <f t="shared" si="88"/>
        <v/>
      </c>
      <c r="M249" s="26" t="str">
        <f t="shared" si="80"/>
        <v/>
      </c>
      <c r="N249" s="26" t="str">
        <f t="shared" si="81"/>
        <v/>
      </c>
      <c r="O249" s="26" t="str">
        <f t="shared" si="82"/>
        <v/>
      </c>
      <c r="P249" s="25" t="str">
        <f t="shared" si="83"/>
        <v/>
      </c>
      <c r="Q249" s="27" t="str">
        <f t="shared" si="89"/>
        <v/>
      </c>
      <c r="R249" s="26" t="str">
        <f t="shared" si="90"/>
        <v/>
      </c>
      <c r="S249" s="23" t="str">
        <f>IF(H249=1,VLOOKUP(COUNTIF($H$2:H249,H249),Specyfikacja!$A$5:$D$99,2,0),IF(H249=2,VLOOKUP(COUNTIF($H$2:H249,H249),Specyfikacja!$A$5:$K$99,9,0),""))</f>
        <v/>
      </c>
      <c r="T249" s="23" t="str">
        <f>IF(H249=1,VLOOKUP(COUNTIF($H$2:H249,H249),Specyfikacja!$A$5:$D$99,3,0),IF(H249=2,VLOOKUP(COUNTIF($H$2:H249,H249),Specyfikacja!$A$5:$K$99,10,0),""))</f>
        <v/>
      </c>
      <c r="U249" s="23" t="str">
        <f>SUBSTITUTE(SUBSTITUTE(IF(H249=1,VLOOKUP(COUNTIF($H$2:H249,H249),Specyfikacja!$A$5:$D$99,4,0),IF(H249=2,VLOOKUP(COUNTIF($H$2:H249,H249),Specyfikacja!$A$5:$K$99,11,0),"")),"Tak","YES"),"Nie","NO")</f>
        <v/>
      </c>
    </row>
    <row r="250" spans="1:21" s="7" customFormat="1" ht="12">
      <c r="A250" s="13"/>
      <c r="B250" s="13"/>
      <c r="C250" s="13"/>
      <c r="D250" s="13"/>
      <c r="E250" s="13"/>
      <c r="F250" s="13"/>
      <c r="G250" s="13"/>
      <c r="H250" s="24" t="str">
        <f>IFERROR(IF(COUNTIFS($H$1:H249,H249)&gt;=VLOOKUP(H249,$A$2:$D$309,4,0),IF(H249=MAX($A$2:$A$317),"",Lista!H249+1),H249),"")</f>
        <v/>
      </c>
      <c r="I250" s="22" t="str">
        <f t="shared" si="78"/>
        <v/>
      </c>
      <c r="J250" s="24" t="str">
        <f t="shared" si="79"/>
        <v/>
      </c>
      <c r="K250" s="25" t="str">
        <f t="shared" si="87"/>
        <v/>
      </c>
      <c r="L250" s="26" t="str">
        <f t="shared" si="88"/>
        <v/>
      </c>
      <c r="M250" s="26" t="str">
        <f t="shared" si="80"/>
        <v/>
      </c>
      <c r="N250" s="26" t="str">
        <f t="shared" si="81"/>
        <v/>
      </c>
      <c r="O250" s="26" t="str">
        <f t="shared" si="82"/>
        <v/>
      </c>
      <c r="P250" s="25" t="str">
        <f t="shared" si="83"/>
        <v/>
      </c>
      <c r="Q250" s="27" t="str">
        <f t="shared" si="89"/>
        <v/>
      </c>
      <c r="R250" s="26" t="str">
        <f t="shared" si="90"/>
        <v/>
      </c>
      <c r="S250" s="23" t="str">
        <f>IF(H250=1,VLOOKUP(COUNTIF($H$2:H250,H250),Specyfikacja!$A$5:$D$99,2,0),IF(H250=2,VLOOKUP(COUNTIF($H$2:H250,H250),Specyfikacja!$A$5:$K$99,9,0),""))</f>
        <v/>
      </c>
      <c r="T250" s="23" t="str">
        <f>IF(H250=1,VLOOKUP(COUNTIF($H$2:H250,H250),Specyfikacja!$A$5:$D$99,3,0),IF(H250=2,VLOOKUP(COUNTIF($H$2:H250,H250),Specyfikacja!$A$5:$K$99,10,0),""))</f>
        <v/>
      </c>
      <c r="U250" s="23" t="str">
        <f>SUBSTITUTE(SUBSTITUTE(IF(H250=1,VLOOKUP(COUNTIF($H$2:H250,H250),Specyfikacja!$A$5:$D$99,4,0),IF(H250=2,VLOOKUP(COUNTIF($H$2:H250,H250),Specyfikacja!$A$5:$K$99,11,0),"")),"Tak","YES"),"Nie","NO")</f>
        <v/>
      </c>
    </row>
    <row r="251" spans="1:21" s="7" customFormat="1" ht="12">
      <c r="A251" s="13"/>
      <c r="B251" s="13"/>
      <c r="C251" s="13"/>
      <c r="D251" s="13"/>
      <c r="E251" s="13"/>
      <c r="F251" s="13"/>
      <c r="G251" s="13"/>
      <c r="H251" s="24" t="str">
        <f>IFERROR(IF(COUNTIFS($H$1:H250,H250)&gt;=VLOOKUP(H250,$A$2:$D$309,4,0),IF(H250=MAX($A$2:$A$317),"",Lista!H250+1),H250),"")</f>
        <v/>
      </c>
      <c r="I251" s="22" t="str">
        <f t="shared" si="78"/>
        <v/>
      </c>
      <c r="J251" s="24" t="str">
        <f t="shared" si="79"/>
        <v/>
      </c>
      <c r="K251" s="25" t="str">
        <f t="shared" si="87"/>
        <v/>
      </c>
      <c r="L251" s="26" t="str">
        <f t="shared" si="88"/>
        <v/>
      </c>
      <c r="M251" s="26" t="str">
        <f t="shared" si="80"/>
        <v/>
      </c>
      <c r="N251" s="26" t="str">
        <f t="shared" si="81"/>
        <v/>
      </c>
      <c r="O251" s="26" t="str">
        <f t="shared" si="82"/>
        <v/>
      </c>
      <c r="P251" s="25" t="str">
        <f t="shared" si="83"/>
        <v/>
      </c>
      <c r="Q251" s="27" t="str">
        <f t="shared" si="89"/>
        <v/>
      </c>
      <c r="R251" s="26" t="str">
        <f t="shared" si="90"/>
        <v/>
      </c>
      <c r="S251" s="23" t="str">
        <f>IF(H251=1,VLOOKUP(COUNTIF($H$2:H251,H251),Specyfikacja!$A$5:$D$99,2,0),IF(H251=2,VLOOKUP(COUNTIF($H$2:H251,H251),Specyfikacja!$A$5:$K$99,9,0),""))</f>
        <v/>
      </c>
      <c r="T251" s="23" t="str">
        <f>IF(H251=1,VLOOKUP(COUNTIF($H$2:H251,H251),Specyfikacja!$A$5:$D$99,3,0),IF(H251=2,VLOOKUP(COUNTIF($H$2:H251,H251),Specyfikacja!$A$5:$K$99,10,0),""))</f>
        <v/>
      </c>
      <c r="U251" s="23" t="str">
        <f>SUBSTITUTE(SUBSTITUTE(IF(H251=1,VLOOKUP(COUNTIF($H$2:H251,H251),Specyfikacja!$A$5:$D$99,4,0),IF(H251=2,VLOOKUP(COUNTIF($H$2:H251,H251),Specyfikacja!$A$5:$K$99,11,0),"")),"Tak","YES"),"Nie","NO")</f>
        <v/>
      </c>
    </row>
    <row r="252" spans="1:21" s="7" customFormat="1" ht="12">
      <c r="A252" s="13"/>
      <c r="B252" s="13"/>
      <c r="C252" s="13"/>
      <c r="D252" s="13"/>
      <c r="E252" s="13"/>
      <c r="F252" s="13"/>
      <c r="G252" s="13"/>
      <c r="H252" s="24" t="str">
        <f>IFERROR(IF(COUNTIFS($H$1:H251,H251)&gt;=VLOOKUP(H251,$A$2:$D$309,4,0),IF(H251=MAX($A$2:$A$317),"",Lista!H251+1),H251),"")</f>
        <v/>
      </c>
      <c r="I252" s="22" t="str">
        <f t="shared" si="78"/>
        <v/>
      </c>
      <c r="J252" s="24" t="str">
        <f t="shared" si="79"/>
        <v/>
      </c>
      <c r="K252" s="25" t="str">
        <f t="shared" si="87"/>
        <v/>
      </c>
      <c r="L252" s="26" t="str">
        <f t="shared" si="88"/>
        <v/>
      </c>
      <c r="M252" s="26" t="str">
        <f t="shared" si="80"/>
        <v/>
      </c>
      <c r="N252" s="26" t="str">
        <f t="shared" si="81"/>
        <v/>
      </c>
      <c r="O252" s="26" t="str">
        <f t="shared" si="82"/>
        <v/>
      </c>
      <c r="P252" s="25" t="str">
        <f t="shared" si="83"/>
        <v/>
      </c>
      <c r="Q252" s="27" t="str">
        <f t="shared" si="89"/>
        <v/>
      </c>
      <c r="R252" s="26" t="str">
        <f t="shared" si="90"/>
        <v/>
      </c>
      <c r="S252" s="23" t="str">
        <f>IF(H252=1,VLOOKUP(COUNTIF($H$2:H252,H252),Specyfikacja!$A$5:$D$99,2,0),IF(H252=2,VLOOKUP(COUNTIF($H$2:H252,H252),Specyfikacja!$A$5:$K$99,9,0),""))</f>
        <v/>
      </c>
      <c r="T252" s="23" t="str">
        <f>IF(H252=1,VLOOKUP(COUNTIF($H$2:H252,H252),Specyfikacja!$A$5:$D$99,3,0),IF(H252=2,VLOOKUP(COUNTIF($H$2:H252,H252),Specyfikacja!$A$5:$K$99,10,0),""))</f>
        <v/>
      </c>
      <c r="U252" s="23" t="str">
        <f>SUBSTITUTE(SUBSTITUTE(IF(H252=1,VLOOKUP(COUNTIF($H$2:H252,H252),Specyfikacja!$A$5:$D$99,4,0),IF(H252=2,VLOOKUP(COUNTIF($H$2:H252,H252),Specyfikacja!$A$5:$K$99,11,0),"")),"Tak","YES"),"Nie","NO")</f>
        <v/>
      </c>
    </row>
    <row r="253" spans="1:21" s="7" customFormat="1" ht="12">
      <c r="A253" s="13"/>
      <c r="B253" s="13"/>
      <c r="C253" s="13"/>
      <c r="D253" s="13"/>
      <c r="E253" s="13"/>
      <c r="F253" s="13"/>
      <c r="G253" s="13"/>
      <c r="H253" s="24" t="str">
        <f>IFERROR(IF(COUNTIFS($H$1:H252,H252)&gt;=VLOOKUP(H252,$A$2:$D$309,4,0),IF(H252=MAX($A$2:$A$317),"",Lista!H252+1),H252),"")</f>
        <v/>
      </c>
      <c r="I253" s="22" t="str">
        <f t="shared" si="78"/>
        <v/>
      </c>
      <c r="J253" s="24" t="str">
        <f t="shared" si="79"/>
        <v/>
      </c>
      <c r="K253" s="25" t="str">
        <f t="shared" si="87"/>
        <v/>
      </c>
      <c r="L253" s="26" t="str">
        <f t="shared" si="88"/>
        <v/>
      </c>
      <c r="M253" s="26" t="str">
        <f t="shared" si="80"/>
        <v/>
      </c>
      <c r="N253" s="26" t="str">
        <f t="shared" si="81"/>
        <v/>
      </c>
      <c r="O253" s="26" t="str">
        <f t="shared" si="82"/>
        <v/>
      </c>
      <c r="P253" s="25" t="str">
        <f t="shared" si="83"/>
        <v/>
      </c>
      <c r="Q253" s="27" t="str">
        <f t="shared" si="89"/>
        <v/>
      </c>
      <c r="R253" s="26" t="str">
        <f t="shared" si="90"/>
        <v/>
      </c>
      <c r="S253" s="23" t="str">
        <f>IF(H253=1,VLOOKUP(COUNTIF($H$2:H253,H253),Specyfikacja!$A$5:$D$99,2,0),IF(H253=2,VLOOKUP(COUNTIF($H$2:H253,H253),Specyfikacja!$A$5:$K$99,9,0),""))</f>
        <v/>
      </c>
      <c r="T253" s="23" t="str">
        <f>IF(H253=1,VLOOKUP(COUNTIF($H$2:H253,H253),Specyfikacja!$A$5:$D$99,3,0),IF(H253=2,VLOOKUP(COUNTIF($H$2:H253,H253),Specyfikacja!$A$5:$K$99,10,0),""))</f>
        <v/>
      </c>
      <c r="U253" s="23" t="str">
        <f>SUBSTITUTE(SUBSTITUTE(IF(H253=1,VLOOKUP(COUNTIF($H$2:H253,H253),Specyfikacja!$A$5:$D$99,4,0),IF(H253=2,VLOOKUP(COUNTIF($H$2:H253,H253),Specyfikacja!$A$5:$K$99,11,0),"")),"Tak","YES"),"Nie","NO")</f>
        <v/>
      </c>
    </row>
    <row r="254" spans="1:21" s="7" customFormat="1" ht="12">
      <c r="A254" s="13"/>
      <c r="B254" s="13"/>
      <c r="C254" s="13"/>
      <c r="D254" s="13"/>
      <c r="E254" s="13"/>
      <c r="F254" s="13"/>
      <c r="G254" s="13"/>
      <c r="H254" s="24" t="str">
        <f>IFERROR(IF(COUNTIFS($H$1:H253,H253)&gt;=VLOOKUP(H253,$A$2:$D$309,4,0),IF(H253=MAX($A$2:$A$317),"",Lista!H253+1),H253),"")</f>
        <v/>
      </c>
      <c r="I254" s="22" t="str">
        <f t="shared" si="78"/>
        <v/>
      </c>
      <c r="J254" s="24" t="str">
        <f t="shared" si="79"/>
        <v/>
      </c>
      <c r="K254" s="25" t="str">
        <f t="shared" si="87"/>
        <v/>
      </c>
      <c r="L254" s="26" t="str">
        <f t="shared" si="88"/>
        <v/>
      </c>
      <c r="M254" s="26" t="str">
        <f t="shared" si="80"/>
        <v/>
      </c>
      <c r="N254" s="26" t="str">
        <f t="shared" si="81"/>
        <v/>
      </c>
      <c r="O254" s="26" t="str">
        <f t="shared" si="82"/>
        <v/>
      </c>
      <c r="P254" s="25" t="str">
        <f t="shared" si="83"/>
        <v/>
      </c>
      <c r="Q254" s="27" t="str">
        <f t="shared" si="89"/>
        <v/>
      </c>
      <c r="R254" s="26" t="str">
        <f t="shared" si="90"/>
        <v/>
      </c>
      <c r="S254" s="23" t="str">
        <f>IF(H254=1,VLOOKUP(COUNTIF($H$2:H254,H254),Specyfikacja!$A$5:$D$99,2,0),IF(H254=2,VLOOKUP(COUNTIF($H$2:H254,H254),Specyfikacja!$A$5:$K$99,9,0),""))</f>
        <v/>
      </c>
      <c r="T254" s="23" t="str">
        <f>IF(H254=1,VLOOKUP(COUNTIF($H$2:H254,H254),Specyfikacja!$A$5:$D$99,3,0),IF(H254=2,VLOOKUP(COUNTIF($H$2:H254,H254),Specyfikacja!$A$5:$K$99,10,0),""))</f>
        <v/>
      </c>
      <c r="U254" s="23" t="str">
        <f>SUBSTITUTE(SUBSTITUTE(IF(H254=1,VLOOKUP(COUNTIF($H$2:H254,H254),Specyfikacja!$A$5:$D$99,4,0),IF(H254=2,VLOOKUP(COUNTIF($H$2:H254,H254),Specyfikacja!$A$5:$K$99,11,0),"")),"Tak","YES"),"Nie","NO")</f>
        <v/>
      </c>
    </row>
    <row r="255" spans="1:21" s="7" customFormat="1" ht="12">
      <c r="A255" s="13"/>
      <c r="B255" s="13"/>
      <c r="C255" s="13"/>
      <c r="D255" s="13"/>
      <c r="E255" s="13"/>
      <c r="F255" s="13"/>
      <c r="G255" s="13"/>
      <c r="H255" s="24" t="str">
        <f>IFERROR(IF(COUNTIFS($H$1:H254,H254)&gt;=VLOOKUP(H254,$A$2:$D$309,4,0),IF(H254=MAX($A$2:$A$317),"",Lista!H254+1),H254),"")</f>
        <v/>
      </c>
      <c r="I255" s="22" t="str">
        <f t="shared" si="78"/>
        <v/>
      </c>
      <c r="J255" s="24" t="str">
        <f t="shared" si="79"/>
        <v/>
      </c>
      <c r="K255" s="25" t="str">
        <f t="shared" si="87"/>
        <v/>
      </c>
      <c r="L255" s="26" t="str">
        <f t="shared" si="88"/>
        <v/>
      </c>
      <c r="M255" s="26" t="str">
        <f t="shared" si="80"/>
        <v/>
      </c>
      <c r="N255" s="26" t="str">
        <f t="shared" si="81"/>
        <v/>
      </c>
      <c r="O255" s="26" t="str">
        <f t="shared" si="82"/>
        <v/>
      </c>
      <c r="P255" s="25" t="str">
        <f t="shared" si="83"/>
        <v/>
      </c>
      <c r="Q255" s="27" t="str">
        <f t="shared" si="89"/>
        <v/>
      </c>
      <c r="R255" s="26" t="str">
        <f t="shared" si="90"/>
        <v/>
      </c>
      <c r="S255" s="23" t="str">
        <f>IF(H255=1,VLOOKUP(COUNTIF($H$2:H255,H255),Specyfikacja!$A$5:$D$99,2,0),IF(H255=2,VLOOKUP(COUNTIF($H$2:H255,H255),Specyfikacja!$A$5:$K$99,9,0),""))</f>
        <v/>
      </c>
      <c r="T255" s="23" t="str">
        <f>IF(H255=1,VLOOKUP(COUNTIF($H$2:H255,H255),Specyfikacja!$A$5:$D$99,3,0),IF(H255=2,VLOOKUP(COUNTIF($H$2:H255,H255),Specyfikacja!$A$5:$K$99,10,0),""))</f>
        <v/>
      </c>
      <c r="U255" s="23" t="str">
        <f>SUBSTITUTE(SUBSTITUTE(IF(H255=1,VLOOKUP(COUNTIF($H$2:H255,H255),Specyfikacja!$A$5:$D$99,4,0),IF(H255=2,VLOOKUP(COUNTIF($H$2:H255,H255),Specyfikacja!$A$5:$K$99,11,0),"")),"Tak","YES"),"Nie","NO")</f>
        <v/>
      </c>
    </row>
    <row r="256" spans="1:21" s="7" customFormat="1" ht="12">
      <c r="A256" s="13"/>
      <c r="B256" s="13"/>
      <c r="C256" s="13"/>
      <c r="D256" s="13"/>
      <c r="E256" s="13"/>
      <c r="F256" s="13"/>
      <c r="G256" s="13"/>
      <c r="H256" s="24" t="str">
        <f>IFERROR(IF(COUNTIFS($H$1:H255,H255)&gt;=VLOOKUP(H255,$A$2:$D$309,4,0),IF(H255=MAX($A$2:$A$317),"",Lista!H255+1),H255),"")</f>
        <v/>
      </c>
      <c r="I256" s="22" t="str">
        <f t="shared" si="78"/>
        <v/>
      </c>
      <c r="J256" s="24" t="str">
        <f t="shared" si="79"/>
        <v/>
      </c>
      <c r="K256" s="25" t="str">
        <f t="shared" si="87"/>
        <v/>
      </c>
      <c r="L256" s="26" t="str">
        <f t="shared" si="88"/>
        <v/>
      </c>
      <c r="M256" s="26" t="str">
        <f t="shared" si="80"/>
        <v/>
      </c>
      <c r="N256" s="26" t="str">
        <f t="shared" si="81"/>
        <v/>
      </c>
      <c r="O256" s="26" t="str">
        <f t="shared" si="82"/>
        <v/>
      </c>
      <c r="P256" s="25" t="str">
        <f t="shared" si="83"/>
        <v/>
      </c>
      <c r="Q256" s="27" t="str">
        <f t="shared" si="89"/>
        <v/>
      </c>
      <c r="R256" s="26" t="str">
        <f t="shared" si="90"/>
        <v/>
      </c>
      <c r="S256" s="23" t="str">
        <f>IF(H256=1,VLOOKUP(COUNTIF($H$2:H256,H256),Specyfikacja!$A$5:$D$99,2,0),IF(H256=2,VLOOKUP(COUNTIF($H$2:H256,H256),Specyfikacja!$A$5:$K$99,9,0),""))</f>
        <v/>
      </c>
      <c r="T256" s="23" t="str">
        <f>IF(H256=1,VLOOKUP(COUNTIF($H$2:H256,H256),Specyfikacja!$A$5:$D$99,3,0),IF(H256=2,VLOOKUP(COUNTIF($H$2:H256,H256),Specyfikacja!$A$5:$K$99,10,0),""))</f>
        <v/>
      </c>
      <c r="U256" s="23" t="str">
        <f>SUBSTITUTE(SUBSTITUTE(IF(H256=1,VLOOKUP(COUNTIF($H$2:H256,H256),Specyfikacja!$A$5:$D$99,4,0),IF(H256=2,VLOOKUP(COUNTIF($H$2:H256,H256),Specyfikacja!$A$5:$K$99,11,0),"")),"Tak","YES"),"Nie","NO")</f>
        <v/>
      </c>
    </row>
    <row r="257" spans="1:21" s="7" customFormat="1" ht="12">
      <c r="A257" s="13"/>
      <c r="B257" s="13"/>
      <c r="C257" s="13"/>
      <c r="D257" s="13"/>
      <c r="E257" s="13"/>
      <c r="F257" s="13"/>
      <c r="G257" s="13"/>
      <c r="H257" s="24" t="str">
        <f>IFERROR(IF(COUNTIFS($H$1:H256,H256)&gt;=VLOOKUP(H256,$A$2:$D$309,4,0),IF(H256=MAX($A$2:$A$317),"",Lista!H256+1),H256),"")</f>
        <v/>
      </c>
      <c r="I257" s="22" t="str">
        <f t="shared" si="78"/>
        <v/>
      </c>
      <c r="J257" s="24" t="str">
        <f t="shared" si="79"/>
        <v/>
      </c>
      <c r="K257" s="25" t="str">
        <f t="shared" si="87"/>
        <v/>
      </c>
      <c r="L257" s="26" t="str">
        <f t="shared" si="88"/>
        <v/>
      </c>
      <c r="M257" s="26" t="str">
        <f t="shared" si="80"/>
        <v/>
      </c>
      <c r="N257" s="26" t="str">
        <f t="shared" si="81"/>
        <v/>
      </c>
      <c r="O257" s="26" t="str">
        <f t="shared" si="82"/>
        <v/>
      </c>
      <c r="P257" s="25" t="str">
        <f t="shared" si="83"/>
        <v/>
      </c>
      <c r="Q257" s="27" t="str">
        <f t="shared" si="89"/>
        <v/>
      </c>
      <c r="R257" s="26" t="str">
        <f t="shared" si="90"/>
        <v/>
      </c>
      <c r="S257" s="23" t="str">
        <f>IF(H257=1,VLOOKUP(COUNTIF($H$2:H257,H257),Specyfikacja!$A$5:$D$99,2,0),IF(H257=2,VLOOKUP(COUNTIF($H$2:H257,H257),Specyfikacja!$A$5:$K$99,9,0),""))</f>
        <v/>
      </c>
      <c r="T257" s="23" t="str">
        <f>IF(H257=1,VLOOKUP(COUNTIF($H$2:H257,H257),Specyfikacja!$A$5:$D$99,3,0),IF(H257=2,VLOOKUP(COUNTIF($H$2:H257,H257),Specyfikacja!$A$5:$K$99,10,0),""))</f>
        <v/>
      </c>
      <c r="U257" s="23" t="str">
        <f>SUBSTITUTE(SUBSTITUTE(IF(H257=1,VLOOKUP(COUNTIF($H$2:H257,H257),Specyfikacja!$A$5:$D$99,4,0),IF(H257=2,VLOOKUP(COUNTIF($H$2:H257,H257),Specyfikacja!$A$5:$K$99,11,0),"")),"Tak","YES"),"Nie","NO")</f>
        <v/>
      </c>
    </row>
    <row r="258" spans="1:21" s="7" customFormat="1" ht="12">
      <c r="A258" s="13"/>
      <c r="B258" s="13"/>
      <c r="C258" s="13"/>
      <c r="D258" s="13"/>
      <c r="E258" s="13"/>
      <c r="F258" s="13"/>
      <c r="G258" s="13"/>
      <c r="H258" s="24" t="str">
        <f>IFERROR(IF(COUNTIFS($H$1:H257,H257)&gt;=VLOOKUP(H257,$A$2:$D$309,4,0),IF(H257=MAX($A$2:$A$317),"",Lista!H257+1),H257),"")</f>
        <v/>
      </c>
      <c r="I258" s="22" t="str">
        <f t="shared" si="78"/>
        <v/>
      </c>
      <c r="J258" s="24" t="str">
        <f t="shared" si="79"/>
        <v/>
      </c>
      <c r="K258" s="25" t="str">
        <f t="shared" si="87"/>
        <v/>
      </c>
      <c r="L258" s="26" t="str">
        <f t="shared" si="88"/>
        <v/>
      </c>
      <c r="M258" s="26" t="str">
        <f t="shared" si="80"/>
        <v/>
      </c>
      <c r="N258" s="26" t="str">
        <f t="shared" si="81"/>
        <v/>
      </c>
      <c r="O258" s="26" t="str">
        <f t="shared" si="82"/>
        <v/>
      </c>
      <c r="P258" s="25" t="str">
        <f t="shared" si="83"/>
        <v/>
      </c>
      <c r="Q258" s="27" t="str">
        <f t="shared" si="89"/>
        <v/>
      </c>
      <c r="R258" s="26" t="str">
        <f t="shared" si="90"/>
        <v/>
      </c>
      <c r="S258" s="23" t="str">
        <f>IF(H258=1,VLOOKUP(COUNTIF($H$2:H258,H258),Specyfikacja!$A$5:$D$99,2,0),IF(H258=2,VLOOKUP(COUNTIF($H$2:H258,H258),Specyfikacja!$A$5:$K$99,9,0),""))</f>
        <v/>
      </c>
      <c r="T258" s="23" t="str">
        <f>IF(H258=1,VLOOKUP(COUNTIF($H$2:H258,H258),Specyfikacja!$A$5:$D$99,3,0),IF(H258=2,VLOOKUP(COUNTIF($H$2:H258,H258),Specyfikacja!$A$5:$K$99,10,0),""))</f>
        <v/>
      </c>
      <c r="U258" s="23" t="str">
        <f>SUBSTITUTE(SUBSTITUTE(IF(H258=1,VLOOKUP(COUNTIF($H$2:H258,H258),Specyfikacja!$A$5:$D$99,4,0),IF(H258=2,VLOOKUP(COUNTIF($H$2:H258,H258),Specyfikacja!$A$5:$K$99,11,0),"")),"Tak","YES"),"Nie","NO")</f>
        <v/>
      </c>
    </row>
    <row r="259" spans="1:21" s="7" customFormat="1" ht="12">
      <c r="A259" s="13"/>
      <c r="B259" s="13"/>
      <c r="C259" s="13"/>
      <c r="D259" s="13"/>
      <c r="E259" s="13"/>
      <c r="F259" s="13"/>
      <c r="G259" s="13"/>
      <c r="H259" s="24" t="str">
        <f>IFERROR(IF(COUNTIFS($H$1:H258,H258)&gt;=VLOOKUP(H258,$A$2:$D$309,4,0),IF(H258=MAX($A$2:$A$317),"",Lista!H258+1),H258),"")</f>
        <v/>
      </c>
      <c r="I259" s="22" t="str">
        <f t="shared" ref="I259:I322" si="91">IFERROR(IF(H259=H258,"",VLOOKUP(H259,$A$2:$B$317,2,0)),"")</f>
        <v/>
      </c>
      <c r="J259" s="24" t="str">
        <f t="shared" ref="J259:J322" si="92">IFERROR(IF(H259=H258,"",VLOOKUP(H259,$A$2:$C$317,3,0)),"")</f>
        <v/>
      </c>
      <c r="K259" s="25" t="str">
        <f t="shared" si="87"/>
        <v/>
      </c>
      <c r="L259" s="26" t="str">
        <f t="shared" si="88"/>
        <v/>
      </c>
      <c r="M259" s="26" t="str">
        <f t="shared" si="80"/>
        <v/>
      </c>
      <c r="N259" s="26" t="str">
        <f t="shared" si="81"/>
        <v/>
      </c>
      <c r="O259" s="26" t="str">
        <f t="shared" si="82"/>
        <v/>
      </c>
      <c r="P259" s="25" t="str">
        <f t="shared" si="83"/>
        <v/>
      </c>
      <c r="Q259" s="27" t="str">
        <f t="shared" si="89"/>
        <v/>
      </c>
      <c r="R259" s="26" t="str">
        <f t="shared" si="90"/>
        <v/>
      </c>
      <c r="S259" s="23" t="str">
        <f>IF(H259=1,VLOOKUP(COUNTIF($H$2:H259,H259),Specyfikacja!$A$5:$D$99,2,0),IF(H259=2,VLOOKUP(COUNTIF($H$2:H259,H259),Specyfikacja!$A$5:$K$99,9,0),""))</f>
        <v/>
      </c>
      <c r="T259" s="23" t="str">
        <f>IF(H259=1,VLOOKUP(COUNTIF($H$2:H259,H259),Specyfikacja!$A$5:$D$99,3,0),IF(H259=2,VLOOKUP(COUNTIF($H$2:H259,H259),Specyfikacja!$A$5:$K$99,10,0),""))</f>
        <v/>
      </c>
      <c r="U259" s="23" t="str">
        <f>SUBSTITUTE(SUBSTITUTE(IF(H259=1,VLOOKUP(COUNTIF($H$2:H259,H259),Specyfikacja!$A$5:$D$99,4,0),IF(H259=2,VLOOKUP(COUNTIF($H$2:H259,H259),Specyfikacja!$A$5:$K$99,11,0),"")),"Tak","YES"),"Nie","NO")</f>
        <v/>
      </c>
    </row>
    <row r="260" spans="1:21" s="7" customFormat="1" ht="12">
      <c r="A260" s="13"/>
      <c r="B260" s="13"/>
      <c r="C260" s="13"/>
      <c r="D260" s="13"/>
      <c r="E260" s="13"/>
      <c r="F260" s="13"/>
      <c r="G260" s="13"/>
      <c r="H260" s="24" t="str">
        <f>IFERROR(IF(COUNTIFS($H$1:H259,H259)&gt;=VLOOKUP(H259,$A$2:$D$309,4,0),IF(H259=MAX($A$2:$A$317),"",Lista!H259+1),H259),"")</f>
        <v/>
      </c>
      <c r="I260" s="22" t="str">
        <f t="shared" si="91"/>
        <v/>
      </c>
      <c r="J260" s="24" t="str">
        <f t="shared" si="92"/>
        <v/>
      </c>
      <c r="K260" s="25" t="str">
        <f t="shared" si="87"/>
        <v/>
      </c>
      <c r="L260" s="26" t="str">
        <f t="shared" si="88"/>
        <v/>
      </c>
      <c r="M260" s="26" t="str">
        <f t="shared" si="80"/>
        <v/>
      </c>
      <c r="N260" s="26" t="str">
        <f t="shared" si="81"/>
        <v/>
      </c>
      <c r="O260" s="26" t="str">
        <f t="shared" si="82"/>
        <v/>
      </c>
      <c r="P260" s="25" t="str">
        <f t="shared" si="83"/>
        <v/>
      </c>
      <c r="Q260" s="27" t="str">
        <f t="shared" si="89"/>
        <v/>
      </c>
      <c r="R260" s="26" t="str">
        <f t="shared" si="90"/>
        <v/>
      </c>
      <c r="S260" s="23" t="str">
        <f>IF(H260=1,VLOOKUP(COUNTIF($H$2:H260,H260),Specyfikacja!$A$5:$D$99,2,0),IF(H260=2,VLOOKUP(COUNTIF($H$2:H260,H260),Specyfikacja!$A$5:$K$99,9,0),""))</f>
        <v/>
      </c>
      <c r="T260" s="23" t="str">
        <f>IF(H260=1,VLOOKUP(COUNTIF($H$2:H260,H260),Specyfikacja!$A$5:$D$99,3,0),IF(H260=2,VLOOKUP(COUNTIF($H$2:H260,H260),Specyfikacja!$A$5:$K$99,10,0),""))</f>
        <v/>
      </c>
      <c r="U260" s="23" t="str">
        <f>SUBSTITUTE(SUBSTITUTE(IF(H260=1,VLOOKUP(COUNTIF($H$2:H260,H260),Specyfikacja!$A$5:$D$99,4,0),IF(H260=2,VLOOKUP(COUNTIF($H$2:H260,H260),Specyfikacja!$A$5:$K$99,11,0),"")),"Tak","YES"),"Nie","NO")</f>
        <v/>
      </c>
    </row>
    <row r="261" spans="1:21" s="7" customFormat="1" ht="12">
      <c r="A261" s="13"/>
      <c r="B261" s="13"/>
      <c r="C261" s="13"/>
      <c r="D261" s="13"/>
      <c r="E261" s="13"/>
      <c r="F261" s="13"/>
      <c r="G261" s="13"/>
      <c r="H261" s="24" t="str">
        <f>IFERROR(IF(COUNTIFS($H$1:H260,H260)&gt;=VLOOKUP(H260,$A$2:$D$309,4,0),IF(H260=MAX($A$2:$A$317),"",Lista!H260+1),H260),"")</f>
        <v/>
      </c>
      <c r="I261" s="22" t="str">
        <f t="shared" si="91"/>
        <v/>
      </c>
      <c r="J261" s="24" t="str">
        <f t="shared" si="92"/>
        <v/>
      </c>
      <c r="K261" s="25" t="str">
        <f t="shared" si="87"/>
        <v/>
      </c>
      <c r="L261" s="26" t="str">
        <f t="shared" si="88"/>
        <v/>
      </c>
      <c r="M261" s="26" t="str">
        <f t="shared" ref="M261:M324" si="93">IF(H261=H260,"",IF(H261="","",$F$4))</f>
        <v/>
      </c>
      <c r="N261" s="26" t="str">
        <f t="shared" ref="N261:N324" si="94">IF(H261=H260,"",IF(H261="","",$F$5))</f>
        <v/>
      </c>
      <c r="O261" s="26" t="str">
        <f t="shared" ref="O261:O324" si="95">IF(H261=H260,"",IF(H261="","",$F$6))</f>
        <v/>
      </c>
      <c r="P261" s="25" t="str">
        <f t="shared" ref="P261:P324" si="96">IF(H261=H260,"",IF(H261="","",$F$7))</f>
        <v/>
      </c>
      <c r="Q261" s="27" t="str">
        <f t="shared" si="89"/>
        <v/>
      </c>
      <c r="R261" s="26" t="str">
        <f t="shared" si="90"/>
        <v/>
      </c>
      <c r="S261" s="23" t="str">
        <f>IF(H261=1,VLOOKUP(COUNTIF($H$2:H261,H261),Specyfikacja!$A$5:$D$99,2,0),IF(H261=2,VLOOKUP(COUNTIF($H$2:H261,H261),Specyfikacja!$A$5:$K$99,9,0),""))</f>
        <v/>
      </c>
      <c r="T261" s="23" t="str">
        <f>IF(H261=1,VLOOKUP(COUNTIF($H$2:H261,H261),Specyfikacja!$A$5:$D$99,3,0),IF(H261=2,VLOOKUP(COUNTIF($H$2:H261,H261),Specyfikacja!$A$5:$K$99,10,0),""))</f>
        <v/>
      </c>
      <c r="U261" s="23" t="str">
        <f>SUBSTITUTE(SUBSTITUTE(IF(H261=1,VLOOKUP(COUNTIF($H$2:H261,H261),Specyfikacja!$A$5:$D$99,4,0),IF(H261=2,VLOOKUP(COUNTIF($H$2:H261,H261),Specyfikacja!$A$5:$K$99,11,0),"")),"Tak","YES"),"Nie","NO")</f>
        <v/>
      </c>
    </row>
    <row r="262" spans="1:21" s="7" customFormat="1" ht="12">
      <c r="A262" s="13"/>
      <c r="B262" s="13"/>
      <c r="C262" s="13"/>
      <c r="D262" s="13"/>
      <c r="E262" s="13"/>
      <c r="F262" s="13"/>
      <c r="G262" s="13"/>
      <c r="H262" s="24" t="str">
        <f>IFERROR(IF(COUNTIFS($H$1:H261,H261)&gt;=VLOOKUP(H261,$A$2:$D$309,4,0),IF(H261=MAX($A$2:$A$317),"",Lista!H261+1),H261),"")</f>
        <v/>
      </c>
      <c r="I262" s="22" t="str">
        <f t="shared" si="91"/>
        <v/>
      </c>
      <c r="J262" s="24" t="str">
        <f t="shared" si="92"/>
        <v/>
      </c>
      <c r="K262" s="25" t="str">
        <f t="shared" si="87"/>
        <v/>
      </c>
      <c r="L262" s="26" t="str">
        <f t="shared" si="88"/>
        <v/>
      </c>
      <c r="M262" s="26" t="str">
        <f t="shared" si="93"/>
        <v/>
      </c>
      <c r="N262" s="26" t="str">
        <f t="shared" si="94"/>
        <v/>
      </c>
      <c r="O262" s="26" t="str">
        <f t="shared" si="95"/>
        <v/>
      </c>
      <c r="P262" s="25" t="str">
        <f t="shared" si="96"/>
        <v/>
      </c>
      <c r="Q262" s="27" t="str">
        <f t="shared" si="89"/>
        <v/>
      </c>
      <c r="R262" s="26" t="str">
        <f t="shared" si="90"/>
        <v/>
      </c>
      <c r="S262" s="23" t="str">
        <f>IF(H262=1,VLOOKUP(COUNTIF($H$2:H262,H262),Specyfikacja!$A$5:$D$99,2,0),IF(H262=2,VLOOKUP(COUNTIF($H$2:H262,H262),Specyfikacja!$A$5:$K$99,9,0),""))</f>
        <v/>
      </c>
      <c r="T262" s="23" t="str">
        <f>IF(H262=1,VLOOKUP(COUNTIF($H$2:H262,H262),Specyfikacja!$A$5:$D$99,3,0),IF(H262=2,VLOOKUP(COUNTIF($H$2:H262,H262),Specyfikacja!$A$5:$K$99,10,0),""))</f>
        <v/>
      </c>
      <c r="U262" s="23" t="str">
        <f>SUBSTITUTE(SUBSTITUTE(IF(H262=1,VLOOKUP(COUNTIF($H$2:H262,H262),Specyfikacja!$A$5:$D$99,4,0),IF(H262=2,VLOOKUP(COUNTIF($H$2:H262,H262),Specyfikacja!$A$5:$K$99,11,0),"")),"Tak","YES"),"Nie","NO")</f>
        <v/>
      </c>
    </row>
    <row r="263" spans="1:21" s="7" customFormat="1" ht="12">
      <c r="A263" s="13"/>
      <c r="B263" s="13"/>
      <c r="C263" s="13"/>
      <c r="D263" s="13"/>
      <c r="E263" s="13"/>
      <c r="F263" s="13"/>
      <c r="G263" s="13"/>
      <c r="H263" s="24" t="str">
        <f>IFERROR(IF(COUNTIFS($H$1:H262,H262)&gt;=VLOOKUP(H262,$A$2:$D$309,4,0),IF(H262=MAX($A$2:$A$317),"",Lista!H262+1),H262),"")</f>
        <v/>
      </c>
      <c r="I263" s="22" t="str">
        <f t="shared" si="91"/>
        <v/>
      </c>
      <c r="J263" s="24" t="str">
        <f t="shared" si="92"/>
        <v/>
      </c>
      <c r="K263" s="25" t="str">
        <f t="shared" si="87"/>
        <v/>
      </c>
      <c r="L263" s="26" t="str">
        <f t="shared" si="88"/>
        <v/>
      </c>
      <c r="M263" s="26" t="str">
        <f t="shared" si="93"/>
        <v/>
      </c>
      <c r="N263" s="26" t="str">
        <f t="shared" si="94"/>
        <v/>
      </c>
      <c r="O263" s="26" t="str">
        <f t="shared" si="95"/>
        <v/>
      </c>
      <c r="P263" s="25" t="str">
        <f t="shared" si="96"/>
        <v/>
      </c>
      <c r="Q263" s="27" t="str">
        <f t="shared" si="89"/>
        <v/>
      </c>
      <c r="R263" s="26" t="str">
        <f t="shared" si="90"/>
        <v/>
      </c>
      <c r="S263" s="23" t="str">
        <f>IF(H263=1,VLOOKUP(COUNTIF($H$2:H263,H263),Specyfikacja!$A$5:$D$99,2,0),IF(H263=2,VLOOKUP(COUNTIF($H$2:H263,H263),Specyfikacja!$A$5:$K$99,9,0),""))</f>
        <v/>
      </c>
      <c r="T263" s="23" t="str">
        <f>IF(H263=1,VLOOKUP(COUNTIF($H$2:H263,H263),Specyfikacja!$A$5:$D$99,3,0),IF(H263=2,VLOOKUP(COUNTIF($H$2:H263,H263),Specyfikacja!$A$5:$K$99,10,0),""))</f>
        <v/>
      </c>
      <c r="U263" s="23" t="str">
        <f>SUBSTITUTE(SUBSTITUTE(IF(H263=1,VLOOKUP(COUNTIF($H$2:H263,H263),Specyfikacja!$A$5:$D$99,4,0),IF(H263=2,VLOOKUP(COUNTIF($H$2:H263,H263),Specyfikacja!$A$5:$K$99,11,0),"")),"Tak","YES"),"Nie","NO")</f>
        <v/>
      </c>
    </row>
    <row r="264" spans="1:21" s="7" customFormat="1" ht="12">
      <c r="A264" s="13"/>
      <c r="B264" s="13"/>
      <c r="C264" s="13"/>
      <c r="D264" s="13"/>
      <c r="E264" s="13"/>
      <c r="F264" s="13"/>
      <c r="G264" s="13"/>
      <c r="H264" s="24" t="str">
        <f>IFERROR(IF(COUNTIFS($H$1:H263,H263)&gt;=VLOOKUP(H263,$A$2:$D$309,4,0),IF(H263=MAX($A$2:$A$317),"",Lista!H263+1),H263),"")</f>
        <v/>
      </c>
      <c r="I264" s="22" t="str">
        <f t="shared" si="91"/>
        <v/>
      </c>
      <c r="J264" s="24" t="str">
        <f t="shared" si="92"/>
        <v/>
      </c>
      <c r="K264" s="25" t="str">
        <f t="shared" si="87"/>
        <v/>
      </c>
      <c r="L264" s="26" t="str">
        <f t="shared" si="88"/>
        <v/>
      </c>
      <c r="M264" s="26" t="str">
        <f t="shared" si="93"/>
        <v/>
      </c>
      <c r="N264" s="26" t="str">
        <f t="shared" si="94"/>
        <v/>
      </c>
      <c r="O264" s="26" t="str">
        <f t="shared" si="95"/>
        <v/>
      </c>
      <c r="P264" s="25" t="str">
        <f t="shared" si="96"/>
        <v/>
      </c>
      <c r="Q264" s="27" t="str">
        <f t="shared" si="89"/>
        <v/>
      </c>
      <c r="R264" s="26" t="str">
        <f t="shared" si="90"/>
        <v/>
      </c>
      <c r="S264" s="23" t="str">
        <f>IF(H264=1,VLOOKUP(COUNTIF($H$2:H264,H264),Specyfikacja!$A$5:$D$99,2,0),IF(H264=2,VLOOKUP(COUNTIF($H$2:H264,H264),Specyfikacja!$A$5:$K$99,9,0),""))</f>
        <v/>
      </c>
      <c r="T264" s="23" t="str">
        <f>IF(H264=1,VLOOKUP(COUNTIF($H$2:H264,H264),Specyfikacja!$A$5:$D$99,3,0),IF(H264=2,VLOOKUP(COUNTIF($H$2:H264,H264),Specyfikacja!$A$5:$K$99,10,0),""))</f>
        <v/>
      </c>
      <c r="U264" s="23" t="str">
        <f>SUBSTITUTE(SUBSTITUTE(IF(H264=1,VLOOKUP(COUNTIF($H$2:H264,H264),Specyfikacja!$A$5:$D$99,4,0),IF(H264=2,VLOOKUP(COUNTIF($H$2:H264,H264),Specyfikacja!$A$5:$K$99,11,0),"")),"Tak","YES"),"Nie","NO")</f>
        <v/>
      </c>
    </row>
    <row r="265" spans="1:21" s="7" customFormat="1" ht="12">
      <c r="A265" s="13"/>
      <c r="B265" s="13"/>
      <c r="C265" s="13"/>
      <c r="D265" s="13"/>
      <c r="E265" s="13"/>
      <c r="F265" s="13"/>
      <c r="G265" s="13"/>
      <c r="H265" s="24" t="str">
        <f>IFERROR(IF(COUNTIFS($H$1:H264,H264)&gt;=VLOOKUP(H264,$A$2:$D$309,4,0),IF(H264=MAX($A$2:$A$317),"",Lista!H264+1),H264),"")</f>
        <v/>
      </c>
      <c r="I265" s="22" t="str">
        <f t="shared" si="91"/>
        <v/>
      </c>
      <c r="J265" s="24" t="str">
        <f t="shared" si="92"/>
        <v/>
      </c>
      <c r="K265" s="25" t="str">
        <f t="shared" si="87"/>
        <v/>
      </c>
      <c r="L265" s="26" t="str">
        <f t="shared" si="88"/>
        <v/>
      </c>
      <c r="M265" s="26" t="str">
        <f t="shared" si="93"/>
        <v/>
      </c>
      <c r="N265" s="26" t="str">
        <f t="shared" si="94"/>
        <v/>
      </c>
      <c r="O265" s="26" t="str">
        <f t="shared" si="95"/>
        <v/>
      </c>
      <c r="P265" s="25" t="str">
        <f t="shared" si="96"/>
        <v/>
      </c>
      <c r="Q265" s="27" t="str">
        <f t="shared" si="89"/>
        <v/>
      </c>
      <c r="R265" s="26" t="str">
        <f t="shared" si="90"/>
        <v/>
      </c>
      <c r="S265" s="23" t="str">
        <f>IF(H265=1,VLOOKUP(COUNTIF($H$2:H265,H265),Specyfikacja!$A$5:$D$99,2,0),IF(H265=2,VLOOKUP(COUNTIF($H$2:H265,H265),Specyfikacja!$A$5:$K$99,9,0),""))</f>
        <v/>
      </c>
      <c r="T265" s="23" t="str">
        <f>IF(H265=1,VLOOKUP(COUNTIF($H$2:H265,H265),Specyfikacja!$A$5:$D$99,3,0),IF(H265=2,VLOOKUP(COUNTIF($H$2:H265,H265),Specyfikacja!$A$5:$K$99,10,0),""))</f>
        <v/>
      </c>
      <c r="U265" s="23" t="str">
        <f>SUBSTITUTE(SUBSTITUTE(IF(H265=1,VLOOKUP(COUNTIF($H$2:H265,H265),Specyfikacja!$A$5:$D$99,4,0),IF(H265=2,VLOOKUP(COUNTIF($H$2:H265,H265),Specyfikacja!$A$5:$K$99,11,0),"")),"Tak","YES"),"Nie","NO")</f>
        <v/>
      </c>
    </row>
    <row r="266" spans="1:21" s="7" customFormat="1" ht="12">
      <c r="A266" s="13"/>
      <c r="B266" s="13"/>
      <c r="C266" s="13"/>
      <c r="D266" s="13"/>
      <c r="E266" s="13"/>
      <c r="F266" s="13"/>
      <c r="G266" s="13"/>
      <c r="H266" s="24" t="str">
        <f>IFERROR(IF(COUNTIFS($H$1:H265,H265)&gt;=VLOOKUP(H265,$A$2:$D$309,4,0),IF(H265=MAX($A$2:$A$317),"",Lista!H265+1),H265),"")</f>
        <v/>
      </c>
      <c r="I266" s="22" t="str">
        <f t="shared" si="91"/>
        <v/>
      </c>
      <c r="J266" s="24" t="str">
        <f t="shared" si="92"/>
        <v/>
      </c>
      <c r="K266" s="25" t="str">
        <f t="shared" si="87"/>
        <v/>
      </c>
      <c r="L266" s="26" t="str">
        <f t="shared" si="88"/>
        <v/>
      </c>
      <c r="M266" s="26" t="str">
        <f t="shared" si="93"/>
        <v/>
      </c>
      <c r="N266" s="26" t="str">
        <f t="shared" si="94"/>
        <v/>
      </c>
      <c r="O266" s="26" t="str">
        <f t="shared" si="95"/>
        <v/>
      </c>
      <c r="P266" s="25" t="str">
        <f t="shared" si="96"/>
        <v/>
      </c>
      <c r="Q266" s="27" t="str">
        <f t="shared" si="89"/>
        <v/>
      </c>
      <c r="R266" s="26" t="str">
        <f t="shared" si="90"/>
        <v/>
      </c>
      <c r="S266" s="23" t="str">
        <f>IF(H266=1,VLOOKUP(COUNTIF($H$2:H266,H266),Specyfikacja!$A$5:$D$99,2,0),IF(H266=2,VLOOKUP(COUNTIF($H$2:H266,H266),Specyfikacja!$A$5:$K$99,9,0),""))</f>
        <v/>
      </c>
      <c r="T266" s="23" t="str">
        <f>IF(H266=1,VLOOKUP(COUNTIF($H$2:H266,H266),Specyfikacja!$A$5:$D$99,3,0),IF(H266=2,VLOOKUP(COUNTIF($H$2:H266,H266),Specyfikacja!$A$5:$K$99,10,0),""))</f>
        <v/>
      </c>
      <c r="U266" s="23" t="str">
        <f>SUBSTITUTE(SUBSTITUTE(IF(H266=1,VLOOKUP(COUNTIF($H$2:H266,H266),Specyfikacja!$A$5:$D$99,4,0),IF(H266=2,VLOOKUP(COUNTIF($H$2:H266,H266),Specyfikacja!$A$5:$K$99,11,0),"")),"Tak","YES"),"Nie","NO")</f>
        <v/>
      </c>
    </row>
    <row r="267" spans="1:21" s="7" customFormat="1" ht="12">
      <c r="A267" s="13"/>
      <c r="B267" s="13"/>
      <c r="C267" s="13"/>
      <c r="D267" s="13"/>
      <c r="E267" s="13"/>
      <c r="F267" s="13"/>
      <c r="G267" s="13"/>
      <c r="H267" s="24" t="str">
        <f>IFERROR(IF(COUNTIFS($H$1:H266,H266)&gt;=VLOOKUP(H266,$A$2:$D$309,4,0),IF(H266=MAX($A$2:$A$317),"",Lista!H266+1),H266),"")</f>
        <v/>
      </c>
      <c r="I267" s="22" t="str">
        <f t="shared" si="91"/>
        <v/>
      </c>
      <c r="J267" s="24" t="str">
        <f t="shared" si="92"/>
        <v/>
      </c>
      <c r="K267" s="25" t="str">
        <f t="shared" si="87"/>
        <v/>
      </c>
      <c r="L267" s="26" t="str">
        <f t="shared" si="88"/>
        <v/>
      </c>
      <c r="M267" s="26" t="str">
        <f t="shared" si="93"/>
        <v/>
      </c>
      <c r="N267" s="26" t="str">
        <f t="shared" si="94"/>
        <v/>
      </c>
      <c r="O267" s="26" t="str">
        <f t="shared" si="95"/>
        <v/>
      </c>
      <c r="P267" s="25" t="str">
        <f t="shared" si="96"/>
        <v/>
      </c>
      <c r="Q267" s="27" t="str">
        <f t="shared" si="89"/>
        <v/>
      </c>
      <c r="R267" s="26" t="str">
        <f t="shared" si="90"/>
        <v/>
      </c>
      <c r="S267" s="23" t="str">
        <f>IF(H267=1,VLOOKUP(COUNTIF($H$2:H267,H267),Specyfikacja!$A$5:$D$99,2,0),IF(H267=2,VLOOKUP(COUNTIF($H$2:H267,H267),Specyfikacja!$A$5:$K$99,9,0),""))</f>
        <v/>
      </c>
      <c r="T267" s="23" t="str">
        <f>IF(H267=1,VLOOKUP(COUNTIF($H$2:H267,H267),Specyfikacja!$A$5:$D$99,3,0),IF(H267=2,VLOOKUP(COUNTIF($H$2:H267,H267),Specyfikacja!$A$5:$K$99,10,0),""))</f>
        <v/>
      </c>
      <c r="U267" s="23" t="str">
        <f>SUBSTITUTE(SUBSTITUTE(IF(H267=1,VLOOKUP(COUNTIF($H$2:H267,H267),Specyfikacja!$A$5:$D$99,4,0),IF(H267=2,VLOOKUP(COUNTIF($H$2:H267,H267),Specyfikacja!$A$5:$K$99,11,0),"")),"Tak","YES"),"Nie","NO")</f>
        <v/>
      </c>
    </row>
    <row r="268" spans="1:21" s="7" customFormat="1" ht="12">
      <c r="A268" s="13"/>
      <c r="B268" s="13"/>
      <c r="C268" s="13"/>
      <c r="D268" s="13"/>
      <c r="E268" s="13"/>
      <c r="F268" s="13"/>
      <c r="G268" s="13"/>
      <c r="H268" s="24" t="str">
        <f>IFERROR(IF(COUNTIFS($H$1:H267,H267)&gt;=VLOOKUP(H267,$A$2:$D$309,4,0),IF(H267=MAX($A$2:$A$317),"",Lista!H267+1),H267),"")</f>
        <v/>
      </c>
      <c r="I268" s="22" t="str">
        <f t="shared" si="91"/>
        <v/>
      </c>
      <c r="J268" s="24" t="str">
        <f t="shared" si="92"/>
        <v/>
      </c>
      <c r="K268" s="25" t="str">
        <f t="shared" si="87"/>
        <v/>
      </c>
      <c r="L268" s="26" t="str">
        <f t="shared" si="88"/>
        <v/>
      </c>
      <c r="M268" s="26" t="str">
        <f t="shared" si="93"/>
        <v/>
      </c>
      <c r="N268" s="26" t="str">
        <f t="shared" si="94"/>
        <v/>
      </c>
      <c r="O268" s="26" t="str">
        <f t="shared" si="95"/>
        <v/>
      </c>
      <c r="P268" s="25" t="str">
        <f t="shared" si="96"/>
        <v/>
      </c>
      <c r="Q268" s="27" t="str">
        <f t="shared" si="89"/>
        <v/>
      </c>
      <c r="R268" s="26" t="str">
        <f t="shared" si="90"/>
        <v/>
      </c>
      <c r="S268" s="23" t="str">
        <f>IF(H268=1,VLOOKUP(COUNTIF($H$2:H268,H268),Specyfikacja!$A$5:$D$99,2,0),IF(H268=2,VLOOKUP(COUNTIF($H$2:H268,H268),Specyfikacja!$A$5:$K$99,9,0),""))</f>
        <v/>
      </c>
      <c r="T268" s="23" t="str">
        <f>IF(H268=1,VLOOKUP(COUNTIF($H$2:H268,H268),Specyfikacja!$A$5:$D$99,3,0),IF(H268=2,VLOOKUP(COUNTIF($H$2:H268,H268),Specyfikacja!$A$5:$K$99,10,0),""))</f>
        <v/>
      </c>
      <c r="U268" s="23" t="str">
        <f>SUBSTITUTE(SUBSTITUTE(IF(H268=1,VLOOKUP(COUNTIF($H$2:H268,H268),Specyfikacja!$A$5:$D$99,4,0),IF(H268=2,VLOOKUP(COUNTIF($H$2:H268,H268),Specyfikacja!$A$5:$K$99,11,0),"")),"Tak","YES"),"Nie","NO")</f>
        <v/>
      </c>
    </row>
    <row r="269" spans="1:21" s="7" customFormat="1" ht="12">
      <c r="A269" s="13"/>
      <c r="B269" s="13"/>
      <c r="C269" s="13"/>
      <c r="D269" s="13"/>
      <c r="E269" s="13"/>
      <c r="F269" s="13"/>
      <c r="G269" s="13"/>
      <c r="H269" s="24" t="str">
        <f>IFERROR(IF(COUNTIFS($H$1:H268,H268)&gt;=VLOOKUP(H268,$A$2:$D$309,4,0),IF(H268=MAX($A$2:$A$317),"",Lista!H268+1),H268),"")</f>
        <v/>
      </c>
      <c r="I269" s="22" t="str">
        <f t="shared" si="91"/>
        <v/>
      </c>
      <c r="J269" s="24" t="str">
        <f t="shared" si="92"/>
        <v/>
      </c>
      <c r="K269" s="25" t="str">
        <f t="shared" si="87"/>
        <v/>
      </c>
      <c r="L269" s="26" t="str">
        <f t="shared" si="88"/>
        <v/>
      </c>
      <c r="M269" s="26" t="str">
        <f t="shared" si="93"/>
        <v/>
      </c>
      <c r="N269" s="26" t="str">
        <f t="shared" si="94"/>
        <v/>
      </c>
      <c r="O269" s="26" t="str">
        <f t="shared" si="95"/>
        <v/>
      </c>
      <c r="P269" s="25" t="str">
        <f t="shared" si="96"/>
        <v/>
      </c>
      <c r="Q269" s="27" t="str">
        <f t="shared" si="89"/>
        <v/>
      </c>
      <c r="R269" s="26" t="str">
        <f t="shared" si="90"/>
        <v/>
      </c>
      <c r="S269" s="23" t="str">
        <f>IF(H269=1,VLOOKUP(COUNTIF($H$2:H269,H269),Specyfikacja!$A$5:$D$99,2,0),IF(H269=2,VLOOKUP(COUNTIF($H$2:H269,H269),Specyfikacja!$A$5:$K$99,9,0),""))</f>
        <v/>
      </c>
      <c r="T269" s="23" t="str">
        <f>IF(H269=1,VLOOKUP(COUNTIF($H$2:H269,H269),Specyfikacja!$A$5:$D$99,3,0),IF(H269=2,VLOOKUP(COUNTIF($H$2:H269,H269),Specyfikacja!$A$5:$K$99,10,0),""))</f>
        <v/>
      </c>
      <c r="U269" s="23" t="str">
        <f>SUBSTITUTE(SUBSTITUTE(IF(H269=1,VLOOKUP(COUNTIF($H$2:H269,H269),Specyfikacja!$A$5:$D$99,4,0),IF(H269=2,VLOOKUP(COUNTIF($H$2:H269,H269),Specyfikacja!$A$5:$K$99,11,0),"")),"Tak","YES"),"Nie","NO")</f>
        <v/>
      </c>
    </row>
    <row r="270" spans="1:21" s="7" customFormat="1" ht="12">
      <c r="A270" s="13"/>
      <c r="B270" s="13"/>
      <c r="C270" s="13"/>
      <c r="D270" s="13"/>
      <c r="E270" s="13"/>
      <c r="F270" s="13"/>
      <c r="G270" s="13"/>
      <c r="H270" s="24" t="str">
        <f>IFERROR(IF(COUNTIFS($H$1:H269,H269)&gt;=VLOOKUP(H269,$A$2:$D$309,4,0),IF(H269=MAX($A$2:$A$317),"",Lista!H269+1),H269),"")</f>
        <v/>
      </c>
      <c r="I270" s="22" t="str">
        <f t="shared" si="91"/>
        <v/>
      </c>
      <c r="J270" s="24" t="str">
        <f t="shared" si="92"/>
        <v/>
      </c>
      <c r="K270" s="25" t="str">
        <f t="shared" si="87"/>
        <v/>
      </c>
      <c r="L270" s="26" t="str">
        <f t="shared" si="88"/>
        <v/>
      </c>
      <c r="M270" s="26" t="str">
        <f t="shared" si="93"/>
        <v/>
      </c>
      <c r="N270" s="26" t="str">
        <f t="shared" si="94"/>
        <v/>
      </c>
      <c r="O270" s="26" t="str">
        <f t="shared" si="95"/>
        <v/>
      </c>
      <c r="P270" s="25" t="str">
        <f t="shared" si="96"/>
        <v/>
      </c>
      <c r="Q270" s="27" t="str">
        <f t="shared" si="89"/>
        <v/>
      </c>
      <c r="R270" s="26" t="str">
        <f t="shared" si="90"/>
        <v/>
      </c>
      <c r="S270" s="23" t="str">
        <f>IF(H270=1,VLOOKUP(COUNTIF($H$2:H270,H270),Specyfikacja!$A$5:$D$99,2,0),IF(H270=2,VLOOKUP(COUNTIF($H$2:H270,H270),Specyfikacja!$A$5:$K$99,9,0),""))</f>
        <v/>
      </c>
      <c r="T270" s="23" t="str">
        <f>IF(H270=1,VLOOKUP(COUNTIF($H$2:H270,H270),Specyfikacja!$A$5:$D$99,3,0),IF(H270=2,VLOOKUP(COUNTIF($H$2:H270,H270),Specyfikacja!$A$5:$K$99,10,0),""))</f>
        <v/>
      </c>
      <c r="U270" s="23" t="str">
        <f>SUBSTITUTE(SUBSTITUTE(IF(H270=1,VLOOKUP(COUNTIF($H$2:H270,H270),Specyfikacja!$A$5:$D$99,4,0),IF(H270=2,VLOOKUP(COUNTIF($H$2:H270,H270),Specyfikacja!$A$5:$K$99,11,0),"")),"Tak","YES"),"Nie","NO")</f>
        <v/>
      </c>
    </row>
    <row r="271" spans="1:21" s="7" customFormat="1" ht="12">
      <c r="A271" s="13"/>
      <c r="B271" s="13"/>
      <c r="C271" s="13"/>
      <c r="D271" s="13"/>
      <c r="E271" s="13"/>
      <c r="F271" s="13"/>
      <c r="G271" s="13"/>
      <c r="H271" s="24" t="str">
        <f>IFERROR(IF(COUNTIFS($H$1:H270,H270)&gt;=VLOOKUP(H270,$A$2:$D$309,4,0),IF(H270=MAX($A$2:$A$317),"",Lista!H270+1),H270),"")</f>
        <v/>
      </c>
      <c r="I271" s="22" t="str">
        <f t="shared" si="91"/>
        <v/>
      </c>
      <c r="J271" s="24" t="str">
        <f t="shared" si="92"/>
        <v/>
      </c>
      <c r="K271" s="25" t="str">
        <f t="shared" si="87"/>
        <v/>
      </c>
      <c r="L271" s="26" t="str">
        <f t="shared" si="88"/>
        <v/>
      </c>
      <c r="M271" s="26" t="str">
        <f t="shared" si="93"/>
        <v/>
      </c>
      <c r="N271" s="26" t="str">
        <f t="shared" si="94"/>
        <v/>
      </c>
      <c r="O271" s="26" t="str">
        <f t="shared" si="95"/>
        <v/>
      </c>
      <c r="P271" s="25" t="str">
        <f t="shared" si="96"/>
        <v/>
      </c>
      <c r="Q271" s="27" t="str">
        <f t="shared" si="89"/>
        <v/>
      </c>
      <c r="R271" s="26" t="str">
        <f t="shared" si="90"/>
        <v/>
      </c>
      <c r="S271" s="23" t="str">
        <f>IF(H271=1,VLOOKUP(COUNTIF($H$2:H271,H271),Specyfikacja!$A$5:$D$99,2,0),IF(H271=2,VLOOKUP(COUNTIF($H$2:H271,H271),Specyfikacja!$A$5:$K$99,9,0),""))</f>
        <v/>
      </c>
      <c r="T271" s="23" t="str">
        <f>IF(H271=1,VLOOKUP(COUNTIF($H$2:H271,H271),Specyfikacja!$A$5:$D$99,3,0),IF(H271=2,VLOOKUP(COUNTIF($H$2:H271,H271),Specyfikacja!$A$5:$K$99,10,0),""))</f>
        <v/>
      </c>
      <c r="U271" s="23" t="str">
        <f>SUBSTITUTE(SUBSTITUTE(IF(H271=1,VLOOKUP(COUNTIF($H$2:H271,H271),Specyfikacja!$A$5:$D$99,4,0),IF(H271=2,VLOOKUP(COUNTIF($H$2:H271,H271),Specyfikacja!$A$5:$K$99,11,0),"")),"Tak","YES"),"Nie","NO")</f>
        <v/>
      </c>
    </row>
    <row r="272" spans="1:21" s="7" customFormat="1" ht="12">
      <c r="A272" s="13"/>
      <c r="B272" s="13"/>
      <c r="C272" s="13"/>
      <c r="D272" s="13"/>
      <c r="E272" s="13"/>
      <c r="F272" s="13"/>
      <c r="G272" s="13"/>
      <c r="H272" s="24" t="str">
        <f>IFERROR(IF(COUNTIFS($H$1:H271,H271)&gt;=VLOOKUP(H271,$A$2:$D$309,4,0),IF(H271=MAX($A$2:$A$317),"",Lista!H271+1),H271),"")</f>
        <v/>
      </c>
      <c r="I272" s="22" t="str">
        <f t="shared" si="91"/>
        <v/>
      </c>
      <c r="J272" s="24" t="str">
        <f t="shared" si="92"/>
        <v/>
      </c>
      <c r="K272" s="25" t="str">
        <f t="shared" si="87"/>
        <v/>
      </c>
      <c r="L272" s="26" t="str">
        <f t="shared" si="88"/>
        <v/>
      </c>
      <c r="M272" s="26" t="str">
        <f t="shared" si="93"/>
        <v/>
      </c>
      <c r="N272" s="26" t="str">
        <f t="shared" si="94"/>
        <v/>
      </c>
      <c r="O272" s="26" t="str">
        <f t="shared" si="95"/>
        <v/>
      </c>
      <c r="P272" s="25" t="str">
        <f t="shared" si="96"/>
        <v/>
      </c>
      <c r="Q272" s="27" t="str">
        <f t="shared" si="89"/>
        <v/>
      </c>
      <c r="R272" s="26" t="str">
        <f t="shared" si="90"/>
        <v/>
      </c>
      <c r="S272" s="23" t="str">
        <f>IF(H272=1,VLOOKUP(COUNTIF($H$2:H272,H272),Specyfikacja!$A$5:$D$99,2,0),IF(H272=2,VLOOKUP(COUNTIF($H$2:H272,H272),Specyfikacja!$A$5:$K$99,9,0),""))</f>
        <v/>
      </c>
      <c r="T272" s="23" t="str">
        <f>IF(H272=1,VLOOKUP(COUNTIF($H$2:H272,H272),Specyfikacja!$A$5:$D$99,3,0),IF(H272=2,VLOOKUP(COUNTIF($H$2:H272,H272),Specyfikacja!$A$5:$K$99,10,0),""))</f>
        <v/>
      </c>
      <c r="U272" s="23" t="str">
        <f>SUBSTITUTE(SUBSTITUTE(IF(H272=1,VLOOKUP(COUNTIF($H$2:H272,H272),Specyfikacja!$A$5:$D$99,4,0),IF(H272=2,VLOOKUP(COUNTIF($H$2:H272,H272),Specyfikacja!$A$5:$K$99,11,0),"")),"Tak","YES"),"Nie","NO")</f>
        <v/>
      </c>
    </row>
    <row r="273" spans="1:21" s="7" customFormat="1" ht="12">
      <c r="A273" s="13"/>
      <c r="B273" s="13"/>
      <c r="C273" s="13"/>
      <c r="D273" s="13"/>
      <c r="E273" s="13"/>
      <c r="F273" s="13"/>
      <c r="G273" s="13"/>
      <c r="H273" s="24" t="str">
        <f>IFERROR(IF(COUNTIFS($H$1:H272,H272)&gt;=VLOOKUP(H272,$A$2:$D$309,4,0),IF(H272=MAX($A$2:$A$317),"",Lista!H272+1),H272),"")</f>
        <v/>
      </c>
      <c r="I273" s="22" t="str">
        <f t="shared" si="91"/>
        <v/>
      </c>
      <c r="J273" s="24" t="str">
        <f t="shared" si="92"/>
        <v/>
      </c>
      <c r="K273" s="25" t="str">
        <f t="shared" ref="K273:K336" si="97">IF(H273=H272,"",IF(H273="","",$F$2))</f>
        <v/>
      </c>
      <c r="L273" s="26" t="str">
        <f t="shared" ref="L273:L336" si="98">IF(H273=H272,"",IF(H273="","",$F$3))</f>
        <v/>
      </c>
      <c r="M273" s="26" t="str">
        <f t="shared" si="93"/>
        <v/>
      </c>
      <c r="N273" s="26" t="str">
        <f t="shared" si="94"/>
        <v/>
      </c>
      <c r="O273" s="26" t="str">
        <f t="shared" si="95"/>
        <v/>
      </c>
      <c r="P273" s="25" t="str">
        <f t="shared" si="96"/>
        <v/>
      </c>
      <c r="Q273" s="27" t="str">
        <f t="shared" ref="Q273:Q336" si="99">IF(H273=H272,"",IF(H273="","",$F$8))</f>
        <v/>
      </c>
      <c r="R273" s="26" t="str">
        <f t="shared" ref="R273:R336" si="100">IF(H273=H272,"",IF(H273="","",$F$9))</f>
        <v/>
      </c>
      <c r="S273" s="23" t="str">
        <f>IF(H273=1,VLOOKUP(COUNTIF($H$2:H273,H273),Specyfikacja!$A$5:$D$99,2,0),IF(H273=2,VLOOKUP(COUNTIF($H$2:H273,H273),Specyfikacja!$A$5:$K$99,9,0),""))</f>
        <v/>
      </c>
      <c r="T273" s="23" t="str">
        <f>IF(H273=1,VLOOKUP(COUNTIF($H$2:H273,H273),Specyfikacja!$A$5:$D$99,3,0),IF(H273=2,VLOOKUP(COUNTIF($H$2:H273,H273),Specyfikacja!$A$5:$K$99,10,0),""))</f>
        <v/>
      </c>
      <c r="U273" s="23" t="str">
        <f>SUBSTITUTE(SUBSTITUTE(IF(H273=1,VLOOKUP(COUNTIF($H$2:H273,H273),Specyfikacja!$A$5:$D$99,4,0),IF(H273=2,VLOOKUP(COUNTIF($H$2:H273,H273),Specyfikacja!$A$5:$K$99,11,0),"")),"Tak","YES"),"Nie","NO")</f>
        <v/>
      </c>
    </row>
    <row r="274" spans="1:21" s="7" customFormat="1" ht="12">
      <c r="A274" s="13"/>
      <c r="B274" s="13"/>
      <c r="C274" s="13"/>
      <c r="D274" s="13"/>
      <c r="E274" s="13"/>
      <c r="F274" s="13"/>
      <c r="G274" s="13"/>
      <c r="H274" s="24" t="str">
        <f>IFERROR(IF(COUNTIFS($H$1:H273,H273)&gt;=VLOOKUP(H273,$A$2:$D$309,4,0),IF(H273=MAX($A$2:$A$317),"",Lista!H273+1),H273),"")</f>
        <v/>
      </c>
      <c r="I274" s="22" t="str">
        <f t="shared" si="91"/>
        <v/>
      </c>
      <c r="J274" s="24" t="str">
        <f t="shared" si="92"/>
        <v/>
      </c>
      <c r="K274" s="25" t="str">
        <f t="shared" si="97"/>
        <v/>
      </c>
      <c r="L274" s="26" t="str">
        <f t="shared" si="98"/>
        <v/>
      </c>
      <c r="M274" s="26" t="str">
        <f t="shared" si="93"/>
        <v/>
      </c>
      <c r="N274" s="26" t="str">
        <f t="shared" si="94"/>
        <v/>
      </c>
      <c r="O274" s="26" t="str">
        <f t="shared" si="95"/>
        <v/>
      </c>
      <c r="P274" s="25" t="str">
        <f t="shared" si="96"/>
        <v/>
      </c>
      <c r="Q274" s="27" t="str">
        <f t="shared" si="99"/>
        <v/>
      </c>
      <c r="R274" s="26" t="str">
        <f t="shared" si="100"/>
        <v/>
      </c>
      <c r="S274" s="23" t="str">
        <f>IF(H274=1,VLOOKUP(COUNTIF($H$2:H274,H274),Specyfikacja!$A$5:$D$99,2,0),IF(H274=2,VLOOKUP(COUNTIF($H$2:H274,H274),Specyfikacja!$A$5:$K$99,9,0),""))</f>
        <v/>
      </c>
      <c r="T274" s="23" t="str">
        <f>IF(H274=1,VLOOKUP(COUNTIF($H$2:H274,H274),Specyfikacja!$A$5:$D$99,3,0),IF(H274=2,VLOOKUP(COUNTIF($H$2:H274,H274),Specyfikacja!$A$5:$K$99,10,0),""))</f>
        <v/>
      </c>
      <c r="U274" s="23" t="str">
        <f>SUBSTITUTE(SUBSTITUTE(IF(H274=1,VLOOKUP(COUNTIF($H$2:H274,H274),Specyfikacja!$A$5:$D$99,4,0),IF(H274=2,VLOOKUP(COUNTIF($H$2:H274,H274),Specyfikacja!$A$5:$K$99,11,0),"")),"Tak","YES"),"Nie","NO")</f>
        <v/>
      </c>
    </row>
    <row r="275" spans="1:21" s="7" customFormat="1" ht="12">
      <c r="A275" s="13"/>
      <c r="B275" s="13"/>
      <c r="C275" s="13"/>
      <c r="D275" s="13"/>
      <c r="E275" s="13"/>
      <c r="F275" s="13"/>
      <c r="G275" s="13"/>
      <c r="H275" s="24" t="str">
        <f>IFERROR(IF(COUNTIFS($H$1:H274,H274)&gt;=VLOOKUP(H274,$A$2:$D$309,4,0),IF(H274=MAX($A$2:$A$317),"",Lista!H274+1),H274),"")</f>
        <v/>
      </c>
      <c r="I275" s="22" t="str">
        <f t="shared" si="91"/>
        <v/>
      </c>
      <c r="J275" s="24" t="str">
        <f t="shared" si="92"/>
        <v/>
      </c>
      <c r="K275" s="25" t="str">
        <f t="shared" si="97"/>
        <v/>
      </c>
      <c r="L275" s="26" t="str">
        <f t="shared" si="98"/>
        <v/>
      </c>
      <c r="M275" s="26" t="str">
        <f t="shared" si="93"/>
        <v/>
      </c>
      <c r="N275" s="26" t="str">
        <f t="shared" si="94"/>
        <v/>
      </c>
      <c r="O275" s="26" t="str">
        <f t="shared" si="95"/>
        <v/>
      </c>
      <c r="P275" s="25" t="str">
        <f t="shared" si="96"/>
        <v/>
      </c>
      <c r="Q275" s="27" t="str">
        <f t="shared" si="99"/>
        <v/>
      </c>
      <c r="R275" s="26" t="str">
        <f t="shared" si="100"/>
        <v/>
      </c>
      <c r="S275" s="23" t="str">
        <f>IF(H275=1,VLOOKUP(COUNTIF($H$2:H275,H275),Specyfikacja!$A$5:$D$99,2,0),IF(H275=2,VLOOKUP(COUNTIF($H$2:H275,H275),Specyfikacja!$A$5:$K$99,9,0),""))</f>
        <v/>
      </c>
      <c r="T275" s="23" t="str">
        <f>IF(H275=1,VLOOKUP(COUNTIF($H$2:H275,H275),Specyfikacja!$A$5:$D$99,3,0),IF(H275=2,VLOOKUP(COUNTIF($H$2:H275,H275),Specyfikacja!$A$5:$K$99,10,0),""))</f>
        <v/>
      </c>
      <c r="U275" s="23" t="str">
        <f>SUBSTITUTE(SUBSTITUTE(IF(H275=1,VLOOKUP(COUNTIF($H$2:H275,H275),Specyfikacja!$A$5:$D$99,4,0),IF(H275=2,VLOOKUP(COUNTIF($H$2:H275,H275),Specyfikacja!$A$5:$K$99,11,0),"")),"Tak","YES"),"Nie","NO")</f>
        <v/>
      </c>
    </row>
    <row r="276" spans="1:21" s="7" customFormat="1" ht="12">
      <c r="A276" s="13"/>
      <c r="B276" s="13"/>
      <c r="C276" s="13"/>
      <c r="D276" s="13"/>
      <c r="E276" s="13"/>
      <c r="F276" s="13"/>
      <c r="G276" s="13"/>
      <c r="H276" s="24" t="str">
        <f>IFERROR(IF(COUNTIFS($H$1:H275,H275)&gt;=VLOOKUP(H275,$A$2:$D$309,4,0),IF(H275=MAX($A$2:$A$317),"",Lista!H275+1),H275),"")</f>
        <v/>
      </c>
      <c r="I276" s="22" t="str">
        <f t="shared" si="91"/>
        <v/>
      </c>
      <c r="J276" s="24" t="str">
        <f t="shared" si="92"/>
        <v/>
      </c>
      <c r="K276" s="25" t="str">
        <f t="shared" si="97"/>
        <v/>
      </c>
      <c r="L276" s="26" t="str">
        <f t="shared" si="98"/>
        <v/>
      </c>
      <c r="M276" s="26" t="str">
        <f t="shared" si="93"/>
        <v/>
      </c>
      <c r="N276" s="26" t="str">
        <f t="shared" si="94"/>
        <v/>
      </c>
      <c r="O276" s="26" t="str">
        <f t="shared" si="95"/>
        <v/>
      </c>
      <c r="P276" s="25" t="str">
        <f t="shared" si="96"/>
        <v/>
      </c>
      <c r="Q276" s="27" t="str">
        <f t="shared" si="99"/>
        <v/>
      </c>
      <c r="R276" s="26" t="str">
        <f t="shared" si="100"/>
        <v/>
      </c>
      <c r="S276" s="23" t="str">
        <f>IF(H276=1,VLOOKUP(COUNTIF($H$2:H276,H276),Specyfikacja!$A$5:$D$99,2,0),IF(H276=2,VLOOKUP(COUNTIF($H$2:H276,H276),Specyfikacja!$A$5:$K$99,9,0),""))</f>
        <v/>
      </c>
      <c r="T276" s="23" t="str">
        <f>IF(H276=1,VLOOKUP(COUNTIF($H$2:H276,H276),Specyfikacja!$A$5:$D$99,3,0),IF(H276=2,VLOOKUP(COUNTIF($H$2:H276,H276),Specyfikacja!$A$5:$K$99,10,0),""))</f>
        <v/>
      </c>
      <c r="U276" s="23" t="str">
        <f>SUBSTITUTE(SUBSTITUTE(IF(H276=1,VLOOKUP(COUNTIF($H$2:H276,H276),Specyfikacja!$A$5:$D$99,4,0),IF(H276=2,VLOOKUP(COUNTIF($H$2:H276,H276),Specyfikacja!$A$5:$K$99,11,0),"")),"Tak","YES"),"Nie","NO")</f>
        <v/>
      </c>
    </row>
    <row r="277" spans="1:21" s="7" customFormat="1" ht="12">
      <c r="A277" s="13"/>
      <c r="B277" s="13"/>
      <c r="C277" s="13"/>
      <c r="D277" s="13"/>
      <c r="E277" s="13"/>
      <c r="F277" s="13"/>
      <c r="G277" s="13"/>
      <c r="H277" s="24" t="str">
        <f>IFERROR(IF(COUNTIFS($H$1:H276,H276)&gt;=VLOOKUP(H276,$A$2:$D$309,4,0),IF(H276=MAX($A$2:$A$317),"",Lista!H276+1),H276),"")</f>
        <v/>
      </c>
      <c r="I277" s="22" t="str">
        <f t="shared" si="91"/>
        <v/>
      </c>
      <c r="J277" s="24" t="str">
        <f t="shared" si="92"/>
        <v/>
      </c>
      <c r="K277" s="25" t="str">
        <f t="shared" si="97"/>
        <v/>
      </c>
      <c r="L277" s="26" t="str">
        <f t="shared" si="98"/>
        <v/>
      </c>
      <c r="M277" s="26" t="str">
        <f t="shared" si="93"/>
        <v/>
      </c>
      <c r="N277" s="26" t="str">
        <f t="shared" si="94"/>
        <v/>
      </c>
      <c r="O277" s="26" t="str">
        <f t="shared" si="95"/>
        <v/>
      </c>
      <c r="P277" s="25" t="str">
        <f t="shared" si="96"/>
        <v/>
      </c>
      <c r="Q277" s="27" t="str">
        <f t="shared" si="99"/>
        <v/>
      </c>
      <c r="R277" s="26" t="str">
        <f t="shared" si="100"/>
        <v/>
      </c>
      <c r="S277" s="23" t="str">
        <f>IF(H277=1,VLOOKUP(COUNTIF($H$2:H277,H277),Specyfikacja!$A$5:$D$99,2,0),IF(H277=2,VLOOKUP(COUNTIF($H$2:H277,H277),Specyfikacja!$A$5:$K$99,9,0),""))</f>
        <v/>
      </c>
      <c r="T277" s="23" t="str">
        <f>IF(H277=1,VLOOKUP(COUNTIF($H$2:H277,H277),Specyfikacja!$A$5:$D$99,3,0),IF(H277=2,VLOOKUP(COUNTIF($H$2:H277,H277),Specyfikacja!$A$5:$K$99,10,0),""))</f>
        <v/>
      </c>
      <c r="U277" s="23" t="str">
        <f>SUBSTITUTE(SUBSTITUTE(IF(H277=1,VLOOKUP(COUNTIF($H$2:H277,H277),Specyfikacja!$A$5:$D$99,4,0),IF(H277=2,VLOOKUP(COUNTIF($H$2:H277,H277),Specyfikacja!$A$5:$K$99,11,0),"")),"Tak","YES"),"Nie","NO")</f>
        <v/>
      </c>
    </row>
    <row r="278" spans="1:21" s="7" customFormat="1" ht="12">
      <c r="A278" s="13"/>
      <c r="B278" s="13"/>
      <c r="C278" s="13"/>
      <c r="D278" s="13"/>
      <c r="E278" s="13"/>
      <c r="F278" s="13"/>
      <c r="G278" s="13"/>
      <c r="H278" s="24" t="str">
        <f>IFERROR(IF(COUNTIFS($H$1:H277,H277)&gt;=VLOOKUP(H277,$A$2:$D$309,4,0),IF(H277=MAX($A$2:$A$317),"",Lista!H277+1),H277),"")</f>
        <v/>
      </c>
      <c r="I278" s="22" t="str">
        <f t="shared" si="91"/>
        <v/>
      </c>
      <c r="J278" s="24" t="str">
        <f t="shared" si="92"/>
        <v/>
      </c>
      <c r="K278" s="25" t="str">
        <f t="shared" si="97"/>
        <v/>
      </c>
      <c r="L278" s="26" t="str">
        <f t="shared" si="98"/>
        <v/>
      </c>
      <c r="M278" s="26" t="str">
        <f t="shared" si="93"/>
        <v/>
      </c>
      <c r="N278" s="26" t="str">
        <f t="shared" si="94"/>
        <v/>
      </c>
      <c r="O278" s="26" t="str">
        <f t="shared" si="95"/>
        <v/>
      </c>
      <c r="P278" s="25" t="str">
        <f t="shared" si="96"/>
        <v/>
      </c>
      <c r="Q278" s="27" t="str">
        <f t="shared" si="99"/>
        <v/>
      </c>
      <c r="R278" s="26" t="str">
        <f t="shared" si="100"/>
        <v/>
      </c>
      <c r="S278" s="23" t="str">
        <f>IF(H278=1,VLOOKUP(COUNTIF($H$2:H278,H278),Specyfikacja!$A$5:$D$99,2,0),IF(H278=2,VLOOKUP(COUNTIF($H$2:H278,H278),Specyfikacja!$A$5:$K$99,9,0),""))</f>
        <v/>
      </c>
      <c r="T278" s="23" t="str">
        <f>IF(H278=1,VLOOKUP(COUNTIF($H$2:H278,H278),Specyfikacja!$A$5:$D$99,3,0),IF(H278=2,VLOOKUP(COUNTIF($H$2:H278,H278),Specyfikacja!$A$5:$K$99,10,0),""))</f>
        <v/>
      </c>
      <c r="U278" s="23" t="str">
        <f>SUBSTITUTE(SUBSTITUTE(IF(H278=1,VLOOKUP(COUNTIF($H$2:H278,H278),Specyfikacja!$A$5:$D$99,4,0),IF(H278=2,VLOOKUP(COUNTIF($H$2:H278,H278),Specyfikacja!$A$5:$K$99,11,0),"")),"Tak","YES"),"Nie","NO")</f>
        <v/>
      </c>
    </row>
    <row r="279" spans="1:21" s="7" customFormat="1" ht="12">
      <c r="A279" s="13"/>
      <c r="B279" s="13"/>
      <c r="C279" s="13"/>
      <c r="D279" s="13"/>
      <c r="E279" s="13"/>
      <c r="F279" s="13"/>
      <c r="G279" s="13"/>
      <c r="H279" s="24" t="str">
        <f>IFERROR(IF(COUNTIFS($H$1:H278,H278)&gt;=VLOOKUP(H278,$A$2:$D$309,4,0),IF(H278=MAX($A$2:$A$317),"",Lista!H278+1),H278),"")</f>
        <v/>
      </c>
      <c r="I279" s="22" t="str">
        <f t="shared" si="91"/>
        <v/>
      </c>
      <c r="J279" s="24" t="str">
        <f t="shared" si="92"/>
        <v/>
      </c>
      <c r="K279" s="25" t="str">
        <f t="shared" si="97"/>
        <v/>
      </c>
      <c r="L279" s="26" t="str">
        <f t="shared" si="98"/>
        <v/>
      </c>
      <c r="M279" s="26" t="str">
        <f t="shared" si="93"/>
        <v/>
      </c>
      <c r="N279" s="26" t="str">
        <f t="shared" si="94"/>
        <v/>
      </c>
      <c r="O279" s="26" t="str">
        <f t="shared" si="95"/>
        <v/>
      </c>
      <c r="P279" s="25" t="str">
        <f t="shared" si="96"/>
        <v/>
      </c>
      <c r="Q279" s="27" t="str">
        <f t="shared" si="99"/>
        <v/>
      </c>
      <c r="R279" s="26" t="str">
        <f t="shared" si="100"/>
        <v/>
      </c>
      <c r="S279" s="23" t="str">
        <f>IF(H279=1,VLOOKUP(COUNTIF($H$2:H279,H279),Specyfikacja!$A$5:$D$99,2,0),IF(H279=2,VLOOKUP(COUNTIF($H$2:H279,H279),Specyfikacja!$A$5:$K$99,9,0),""))</f>
        <v/>
      </c>
      <c r="T279" s="23" t="str">
        <f>IF(H279=1,VLOOKUP(COUNTIF($H$2:H279,H279),Specyfikacja!$A$5:$D$99,3,0),IF(H279=2,VLOOKUP(COUNTIF($H$2:H279,H279),Specyfikacja!$A$5:$K$99,10,0),""))</f>
        <v/>
      </c>
      <c r="U279" s="23" t="str">
        <f>SUBSTITUTE(SUBSTITUTE(IF(H279=1,VLOOKUP(COUNTIF($H$2:H279,H279),Specyfikacja!$A$5:$D$99,4,0),IF(H279=2,VLOOKUP(COUNTIF($H$2:H279,H279),Specyfikacja!$A$5:$K$99,11,0),"")),"Tak","YES"),"Nie","NO")</f>
        <v/>
      </c>
    </row>
    <row r="280" spans="1:21" s="7" customFormat="1" ht="12">
      <c r="A280" s="13"/>
      <c r="B280" s="13"/>
      <c r="C280" s="13"/>
      <c r="D280" s="13"/>
      <c r="E280" s="13"/>
      <c r="F280" s="13"/>
      <c r="G280" s="13"/>
      <c r="H280" s="24" t="str">
        <f>IFERROR(IF(COUNTIFS($H$1:H279,H279)&gt;=VLOOKUP(H279,$A$2:$D$309,4,0),IF(H279=MAX($A$2:$A$317),"",Lista!H279+1),H279),"")</f>
        <v/>
      </c>
      <c r="I280" s="22" t="str">
        <f t="shared" si="91"/>
        <v/>
      </c>
      <c r="J280" s="24" t="str">
        <f t="shared" si="92"/>
        <v/>
      </c>
      <c r="K280" s="25" t="str">
        <f t="shared" si="97"/>
        <v/>
      </c>
      <c r="L280" s="26" t="str">
        <f t="shared" si="98"/>
        <v/>
      </c>
      <c r="M280" s="26" t="str">
        <f t="shared" si="93"/>
        <v/>
      </c>
      <c r="N280" s="26" t="str">
        <f t="shared" si="94"/>
        <v/>
      </c>
      <c r="O280" s="26" t="str">
        <f t="shared" si="95"/>
        <v/>
      </c>
      <c r="P280" s="25" t="str">
        <f t="shared" si="96"/>
        <v/>
      </c>
      <c r="Q280" s="27" t="str">
        <f t="shared" si="99"/>
        <v/>
      </c>
      <c r="R280" s="26" t="str">
        <f t="shared" si="100"/>
        <v/>
      </c>
      <c r="S280" s="23" t="str">
        <f>IF(H280=1,VLOOKUP(COUNTIF($H$2:H280,H280),Specyfikacja!$A$5:$D$99,2,0),IF(H280=2,VLOOKUP(COUNTIF($H$2:H280,H280),Specyfikacja!$A$5:$K$99,9,0),""))</f>
        <v/>
      </c>
      <c r="T280" s="23" t="str">
        <f>IF(H280=1,VLOOKUP(COUNTIF($H$2:H280,H280),Specyfikacja!$A$5:$D$99,3,0),IF(H280=2,VLOOKUP(COUNTIF($H$2:H280,H280),Specyfikacja!$A$5:$K$99,10,0),""))</f>
        <v/>
      </c>
      <c r="U280" s="23" t="str">
        <f>SUBSTITUTE(SUBSTITUTE(IF(H280=1,VLOOKUP(COUNTIF($H$2:H280,H280),Specyfikacja!$A$5:$D$99,4,0),IF(H280=2,VLOOKUP(COUNTIF($H$2:H280,H280),Specyfikacja!$A$5:$K$99,11,0),"")),"Tak","YES"),"Nie","NO")</f>
        <v/>
      </c>
    </row>
    <row r="281" spans="1:21" s="7" customFormat="1" ht="12">
      <c r="A281" s="13"/>
      <c r="B281" s="13"/>
      <c r="C281" s="13"/>
      <c r="D281" s="13"/>
      <c r="E281" s="13"/>
      <c r="F281" s="13"/>
      <c r="G281" s="13"/>
      <c r="H281" s="24" t="str">
        <f>IFERROR(IF(COUNTIFS($H$1:H280,H280)&gt;=VLOOKUP(H280,$A$2:$D$309,4,0),IF(H280=MAX($A$2:$A$317),"",Lista!H280+1),H280),"")</f>
        <v/>
      </c>
      <c r="I281" s="22" t="str">
        <f t="shared" si="91"/>
        <v/>
      </c>
      <c r="J281" s="24" t="str">
        <f t="shared" si="92"/>
        <v/>
      </c>
      <c r="K281" s="25" t="str">
        <f t="shared" si="97"/>
        <v/>
      </c>
      <c r="L281" s="26" t="str">
        <f t="shared" si="98"/>
        <v/>
      </c>
      <c r="M281" s="26" t="str">
        <f t="shared" si="93"/>
        <v/>
      </c>
      <c r="N281" s="26" t="str">
        <f t="shared" si="94"/>
        <v/>
      </c>
      <c r="O281" s="26" t="str">
        <f t="shared" si="95"/>
        <v/>
      </c>
      <c r="P281" s="25" t="str">
        <f t="shared" si="96"/>
        <v/>
      </c>
      <c r="Q281" s="27" t="str">
        <f t="shared" si="99"/>
        <v/>
      </c>
      <c r="R281" s="26" t="str">
        <f t="shared" si="100"/>
        <v/>
      </c>
      <c r="S281" s="23" t="str">
        <f>IF(H281=1,VLOOKUP(COUNTIF($H$2:H281,H281),Specyfikacja!$A$5:$D$99,2,0),IF(H281=2,VLOOKUP(COUNTIF($H$2:H281,H281),Specyfikacja!$A$5:$K$99,9,0),""))</f>
        <v/>
      </c>
      <c r="T281" s="23" t="str">
        <f>IF(H281=1,VLOOKUP(COUNTIF($H$2:H281,H281),Specyfikacja!$A$5:$D$99,3,0),IF(H281=2,VLOOKUP(COUNTIF($H$2:H281,H281),Specyfikacja!$A$5:$K$99,10,0),""))</f>
        <v/>
      </c>
      <c r="U281" s="23" t="str">
        <f>SUBSTITUTE(SUBSTITUTE(IF(H281=1,VLOOKUP(COUNTIF($H$2:H281,H281),Specyfikacja!$A$5:$D$99,4,0),IF(H281=2,VLOOKUP(COUNTIF($H$2:H281,H281),Specyfikacja!$A$5:$K$99,11,0),"")),"Tak","YES"),"Nie","NO")</f>
        <v/>
      </c>
    </row>
    <row r="282" spans="1:21" s="7" customFormat="1" ht="12">
      <c r="A282" s="13"/>
      <c r="B282" s="13"/>
      <c r="C282" s="13"/>
      <c r="D282" s="13"/>
      <c r="E282" s="13"/>
      <c r="F282" s="13"/>
      <c r="G282" s="13"/>
      <c r="H282" s="24" t="str">
        <f>IFERROR(IF(COUNTIFS($H$1:H281,H281)&gt;=VLOOKUP(H281,$A$2:$D$309,4,0),IF(H281=MAX($A$2:$A$317),"",Lista!H281+1),H281),"")</f>
        <v/>
      </c>
      <c r="I282" s="22" t="str">
        <f t="shared" si="91"/>
        <v/>
      </c>
      <c r="J282" s="24" t="str">
        <f t="shared" si="92"/>
        <v/>
      </c>
      <c r="K282" s="25" t="str">
        <f t="shared" si="97"/>
        <v/>
      </c>
      <c r="L282" s="26" t="str">
        <f t="shared" si="98"/>
        <v/>
      </c>
      <c r="M282" s="26" t="str">
        <f t="shared" si="93"/>
        <v/>
      </c>
      <c r="N282" s="26" t="str">
        <f t="shared" si="94"/>
        <v/>
      </c>
      <c r="O282" s="26" t="str">
        <f t="shared" si="95"/>
        <v/>
      </c>
      <c r="P282" s="25" t="str">
        <f t="shared" si="96"/>
        <v/>
      </c>
      <c r="Q282" s="27" t="str">
        <f t="shared" si="99"/>
        <v/>
      </c>
      <c r="R282" s="26" t="str">
        <f t="shared" si="100"/>
        <v/>
      </c>
      <c r="S282" s="23" t="str">
        <f>IF(H282=1,VLOOKUP(COUNTIF($H$2:H282,H282),Specyfikacja!$A$5:$D$99,2,0),IF(H282=2,VLOOKUP(COUNTIF($H$2:H282,H282),Specyfikacja!$A$5:$K$99,9,0),""))</f>
        <v/>
      </c>
      <c r="T282" s="23" t="str">
        <f>IF(H282=1,VLOOKUP(COUNTIF($H$2:H282,H282),Specyfikacja!$A$5:$D$99,3,0),IF(H282=2,VLOOKUP(COUNTIF($H$2:H282,H282),Specyfikacja!$A$5:$K$99,10,0),""))</f>
        <v/>
      </c>
      <c r="U282" s="23" t="str">
        <f>SUBSTITUTE(SUBSTITUTE(IF(H282=1,VLOOKUP(COUNTIF($H$2:H282,H282),Specyfikacja!$A$5:$D$99,4,0),IF(H282=2,VLOOKUP(COUNTIF($H$2:H282,H282),Specyfikacja!$A$5:$K$99,11,0),"")),"Tak","YES"),"Nie","NO")</f>
        <v/>
      </c>
    </row>
    <row r="283" spans="1:21" s="7" customFormat="1" ht="12">
      <c r="A283" s="13"/>
      <c r="B283" s="13"/>
      <c r="C283" s="13"/>
      <c r="D283" s="13"/>
      <c r="E283" s="13"/>
      <c r="F283" s="13"/>
      <c r="G283" s="13"/>
      <c r="H283" s="24" t="str">
        <f>IFERROR(IF(COUNTIFS($H$1:H282,H282)&gt;=VLOOKUP(H282,$A$2:$D$309,4,0),IF(H282=MAX($A$2:$A$317),"",Lista!H282+1),H282),"")</f>
        <v/>
      </c>
      <c r="I283" s="22" t="str">
        <f t="shared" si="91"/>
        <v/>
      </c>
      <c r="J283" s="24" t="str">
        <f t="shared" si="92"/>
        <v/>
      </c>
      <c r="K283" s="25" t="str">
        <f t="shared" si="97"/>
        <v/>
      </c>
      <c r="L283" s="26" t="str">
        <f t="shared" si="98"/>
        <v/>
      </c>
      <c r="M283" s="26" t="str">
        <f t="shared" si="93"/>
        <v/>
      </c>
      <c r="N283" s="26" t="str">
        <f t="shared" si="94"/>
        <v/>
      </c>
      <c r="O283" s="26" t="str">
        <f t="shared" si="95"/>
        <v/>
      </c>
      <c r="P283" s="25" t="str">
        <f t="shared" si="96"/>
        <v/>
      </c>
      <c r="Q283" s="27" t="str">
        <f t="shared" si="99"/>
        <v/>
      </c>
      <c r="R283" s="26" t="str">
        <f t="shared" si="100"/>
        <v/>
      </c>
      <c r="S283" s="23" t="str">
        <f>IF(H283=1,VLOOKUP(COUNTIF($H$2:H283,H283),Specyfikacja!$A$5:$D$99,2,0),IF(H283=2,VLOOKUP(COUNTIF($H$2:H283,H283),Specyfikacja!$A$5:$K$99,9,0),""))</f>
        <v/>
      </c>
      <c r="T283" s="23" t="str">
        <f>IF(H283=1,VLOOKUP(COUNTIF($H$2:H283,H283),Specyfikacja!$A$5:$D$99,3,0),IF(H283=2,VLOOKUP(COUNTIF($H$2:H283,H283),Specyfikacja!$A$5:$K$99,10,0),""))</f>
        <v/>
      </c>
      <c r="U283" s="23" t="str">
        <f>SUBSTITUTE(SUBSTITUTE(IF(H283=1,VLOOKUP(COUNTIF($H$2:H283,H283),Specyfikacja!$A$5:$D$99,4,0),IF(H283=2,VLOOKUP(COUNTIF($H$2:H283,H283),Specyfikacja!$A$5:$K$99,11,0),"")),"Tak","YES"),"Nie","NO")</f>
        <v/>
      </c>
    </row>
    <row r="284" spans="1:21" s="7" customFormat="1" ht="12">
      <c r="A284" s="13"/>
      <c r="B284" s="13"/>
      <c r="C284" s="13"/>
      <c r="D284" s="13"/>
      <c r="E284" s="13"/>
      <c r="F284" s="13"/>
      <c r="G284" s="13"/>
      <c r="H284" s="24" t="str">
        <f>IFERROR(IF(COUNTIFS($H$1:H283,H283)&gt;=VLOOKUP(H283,$A$2:$D$309,4,0),IF(H283=MAX($A$2:$A$317),"",Lista!H283+1),H283),"")</f>
        <v/>
      </c>
      <c r="I284" s="22" t="str">
        <f t="shared" si="91"/>
        <v/>
      </c>
      <c r="J284" s="24" t="str">
        <f t="shared" si="92"/>
        <v/>
      </c>
      <c r="K284" s="25" t="str">
        <f t="shared" si="97"/>
        <v/>
      </c>
      <c r="L284" s="26" t="str">
        <f t="shared" si="98"/>
        <v/>
      </c>
      <c r="M284" s="26" t="str">
        <f t="shared" si="93"/>
        <v/>
      </c>
      <c r="N284" s="26" t="str">
        <f t="shared" si="94"/>
        <v/>
      </c>
      <c r="O284" s="26" t="str">
        <f t="shared" si="95"/>
        <v/>
      </c>
      <c r="P284" s="25" t="str">
        <f t="shared" si="96"/>
        <v/>
      </c>
      <c r="Q284" s="27" t="str">
        <f t="shared" si="99"/>
        <v/>
      </c>
      <c r="R284" s="26" t="str">
        <f t="shared" si="100"/>
        <v/>
      </c>
      <c r="S284" s="23" t="str">
        <f>IF(H284=1,VLOOKUP(COUNTIF($H$2:H284,H284),Specyfikacja!$A$5:$D$99,2,0),IF(H284=2,VLOOKUP(COUNTIF($H$2:H284,H284),Specyfikacja!$A$5:$K$99,9,0),""))</f>
        <v/>
      </c>
      <c r="T284" s="23" t="str">
        <f>IF(H284=1,VLOOKUP(COUNTIF($H$2:H284,H284),Specyfikacja!$A$5:$D$99,3,0),IF(H284=2,VLOOKUP(COUNTIF($H$2:H284,H284),Specyfikacja!$A$5:$K$99,10,0),""))</f>
        <v/>
      </c>
      <c r="U284" s="23" t="str">
        <f>SUBSTITUTE(SUBSTITUTE(IF(H284=1,VLOOKUP(COUNTIF($H$2:H284,H284),Specyfikacja!$A$5:$D$99,4,0),IF(H284=2,VLOOKUP(COUNTIF($H$2:H284,H284),Specyfikacja!$A$5:$K$99,11,0),"")),"Tak","YES"),"Nie","NO")</f>
        <v/>
      </c>
    </row>
    <row r="285" spans="1:21" s="7" customFormat="1" ht="12">
      <c r="A285" s="13"/>
      <c r="B285" s="13"/>
      <c r="C285" s="13"/>
      <c r="D285" s="13"/>
      <c r="E285" s="13"/>
      <c r="F285" s="13"/>
      <c r="G285" s="13"/>
      <c r="H285" s="24" t="str">
        <f>IFERROR(IF(COUNTIFS($H$1:H284,H284)&gt;=VLOOKUP(H284,$A$2:$D$309,4,0),IF(H284=MAX($A$2:$A$317),"",Lista!H284+1),H284),"")</f>
        <v/>
      </c>
      <c r="I285" s="22" t="str">
        <f t="shared" si="91"/>
        <v/>
      </c>
      <c r="J285" s="24" t="str">
        <f t="shared" si="92"/>
        <v/>
      </c>
      <c r="K285" s="25" t="str">
        <f t="shared" si="97"/>
        <v/>
      </c>
      <c r="L285" s="26" t="str">
        <f t="shared" si="98"/>
        <v/>
      </c>
      <c r="M285" s="26" t="str">
        <f t="shared" si="93"/>
        <v/>
      </c>
      <c r="N285" s="26" t="str">
        <f t="shared" si="94"/>
        <v/>
      </c>
      <c r="O285" s="26" t="str">
        <f t="shared" si="95"/>
        <v/>
      </c>
      <c r="P285" s="25" t="str">
        <f t="shared" si="96"/>
        <v/>
      </c>
      <c r="Q285" s="27" t="str">
        <f t="shared" si="99"/>
        <v/>
      </c>
      <c r="R285" s="26" t="str">
        <f t="shared" si="100"/>
        <v/>
      </c>
      <c r="S285" s="23" t="str">
        <f>IF(H285=1,VLOOKUP(COUNTIF($H$2:H285,H285),Specyfikacja!$A$5:$D$99,2,0),IF(H285=2,VLOOKUP(COUNTIF($H$2:H285,H285),Specyfikacja!$A$5:$K$99,9,0),""))</f>
        <v/>
      </c>
      <c r="T285" s="23" t="str">
        <f>IF(H285=1,VLOOKUP(COUNTIF($H$2:H285,H285),Specyfikacja!$A$5:$D$99,3,0),IF(H285=2,VLOOKUP(COUNTIF($H$2:H285,H285),Specyfikacja!$A$5:$K$99,10,0),""))</f>
        <v/>
      </c>
      <c r="U285" s="23" t="str">
        <f>SUBSTITUTE(SUBSTITUTE(IF(H285=1,VLOOKUP(COUNTIF($H$2:H285,H285),Specyfikacja!$A$5:$D$99,4,0),IF(H285=2,VLOOKUP(COUNTIF($H$2:H285,H285),Specyfikacja!$A$5:$K$99,11,0),"")),"Tak","YES"),"Nie","NO")</f>
        <v/>
      </c>
    </row>
    <row r="286" spans="1:21" s="7" customFormat="1" ht="12">
      <c r="A286" s="13"/>
      <c r="B286" s="13"/>
      <c r="C286" s="13"/>
      <c r="D286" s="13"/>
      <c r="E286" s="13"/>
      <c r="F286" s="13"/>
      <c r="G286" s="13"/>
      <c r="H286" s="24" t="str">
        <f>IFERROR(IF(COUNTIFS($H$1:H285,H285)&gt;=VLOOKUP(H285,$A$2:$D$309,4,0),IF(H285=MAX($A$2:$A$317),"",Lista!H285+1),H285),"")</f>
        <v/>
      </c>
      <c r="I286" s="22" t="str">
        <f t="shared" si="91"/>
        <v/>
      </c>
      <c r="J286" s="24" t="str">
        <f t="shared" si="92"/>
        <v/>
      </c>
      <c r="K286" s="25" t="str">
        <f t="shared" si="97"/>
        <v/>
      </c>
      <c r="L286" s="26" t="str">
        <f t="shared" si="98"/>
        <v/>
      </c>
      <c r="M286" s="26" t="str">
        <f t="shared" si="93"/>
        <v/>
      </c>
      <c r="N286" s="26" t="str">
        <f t="shared" si="94"/>
        <v/>
      </c>
      <c r="O286" s="26" t="str">
        <f t="shared" si="95"/>
        <v/>
      </c>
      <c r="P286" s="25" t="str">
        <f t="shared" si="96"/>
        <v/>
      </c>
      <c r="Q286" s="27" t="str">
        <f t="shared" si="99"/>
        <v/>
      </c>
      <c r="R286" s="26" t="str">
        <f t="shared" si="100"/>
        <v/>
      </c>
      <c r="S286" s="23" t="str">
        <f>IF(H286=1,VLOOKUP(COUNTIF($H$2:H286,H286),Specyfikacja!$A$5:$D$99,2,0),IF(H286=2,VLOOKUP(COUNTIF($H$2:H286,H286),Specyfikacja!$A$5:$K$99,9,0),""))</f>
        <v/>
      </c>
      <c r="T286" s="23" t="str">
        <f>IF(H286=1,VLOOKUP(COUNTIF($H$2:H286,H286),Specyfikacja!$A$5:$D$99,3,0),IF(H286=2,VLOOKUP(COUNTIF($H$2:H286,H286),Specyfikacja!$A$5:$K$99,10,0),""))</f>
        <v/>
      </c>
      <c r="U286" s="23" t="str">
        <f>SUBSTITUTE(SUBSTITUTE(IF(H286=1,VLOOKUP(COUNTIF($H$2:H286,H286),Specyfikacja!$A$5:$D$99,4,0),IF(H286=2,VLOOKUP(COUNTIF($H$2:H286,H286),Specyfikacja!$A$5:$K$99,11,0),"")),"Tak","YES"),"Nie","NO")</f>
        <v/>
      </c>
    </row>
    <row r="287" spans="1:21" s="7" customFormat="1" ht="12">
      <c r="A287" s="13"/>
      <c r="B287" s="13"/>
      <c r="C287" s="13"/>
      <c r="D287" s="13"/>
      <c r="E287" s="13"/>
      <c r="F287" s="13"/>
      <c r="G287" s="13"/>
      <c r="H287" s="24" t="str">
        <f>IFERROR(IF(COUNTIFS($H$1:H286,H286)&gt;=VLOOKUP(H286,$A$2:$D$309,4,0),IF(H286=MAX($A$2:$A$317),"",Lista!H286+1),H286),"")</f>
        <v/>
      </c>
      <c r="I287" s="22" t="str">
        <f t="shared" si="91"/>
        <v/>
      </c>
      <c r="J287" s="24" t="str">
        <f t="shared" si="92"/>
        <v/>
      </c>
      <c r="K287" s="25" t="str">
        <f t="shared" si="97"/>
        <v/>
      </c>
      <c r="L287" s="26" t="str">
        <f t="shared" si="98"/>
        <v/>
      </c>
      <c r="M287" s="26" t="str">
        <f t="shared" si="93"/>
        <v/>
      </c>
      <c r="N287" s="26" t="str">
        <f t="shared" si="94"/>
        <v/>
      </c>
      <c r="O287" s="26" t="str">
        <f t="shared" si="95"/>
        <v/>
      </c>
      <c r="P287" s="25" t="str">
        <f t="shared" si="96"/>
        <v/>
      </c>
      <c r="Q287" s="27" t="str">
        <f t="shared" si="99"/>
        <v/>
      </c>
      <c r="R287" s="26" t="str">
        <f t="shared" si="100"/>
        <v/>
      </c>
      <c r="S287" s="23" t="str">
        <f>IF(H287=1,VLOOKUP(COUNTIF($H$2:H287,H287),Specyfikacja!$A$5:$D$99,2,0),IF(H287=2,VLOOKUP(COUNTIF($H$2:H287,H287),Specyfikacja!$A$5:$K$99,9,0),""))</f>
        <v/>
      </c>
      <c r="T287" s="23" t="str">
        <f>IF(H287=1,VLOOKUP(COUNTIF($H$2:H287,H287),Specyfikacja!$A$5:$D$99,3,0),IF(H287=2,VLOOKUP(COUNTIF($H$2:H287,H287),Specyfikacja!$A$5:$K$99,10,0),""))</f>
        <v/>
      </c>
      <c r="U287" s="23" t="str">
        <f>SUBSTITUTE(SUBSTITUTE(IF(H287=1,VLOOKUP(COUNTIF($H$2:H287,H287),Specyfikacja!$A$5:$D$99,4,0),IF(H287=2,VLOOKUP(COUNTIF($H$2:H287,H287),Specyfikacja!$A$5:$K$99,11,0),"")),"Tak","YES"),"Nie","NO")</f>
        <v/>
      </c>
    </row>
    <row r="288" spans="1:21" s="7" customFormat="1" ht="12">
      <c r="A288" s="13"/>
      <c r="B288" s="13"/>
      <c r="C288" s="13"/>
      <c r="D288" s="13"/>
      <c r="E288" s="13"/>
      <c r="F288" s="13"/>
      <c r="G288" s="13"/>
      <c r="H288" s="24" t="str">
        <f>IFERROR(IF(COUNTIFS($H$1:H287,H287)&gt;=VLOOKUP(H287,$A$2:$D$309,4,0),IF(H287=MAX($A$2:$A$317),"",Lista!H287+1),H287),"")</f>
        <v/>
      </c>
      <c r="I288" s="22" t="str">
        <f t="shared" si="91"/>
        <v/>
      </c>
      <c r="J288" s="24" t="str">
        <f t="shared" si="92"/>
        <v/>
      </c>
      <c r="K288" s="25" t="str">
        <f t="shared" si="97"/>
        <v/>
      </c>
      <c r="L288" s="26" t="str">
        <f t="shared" si="98"/>
        <v/>
      </c>
      <c r="M288" s="26" t="str">
        <f t="shared" si="93"/>
        <v/>
      </c>
      <c r="N288" s="26" t="str">
        <f t="shared" si="94"/>
        <v/>
      </c>
      <c r="O288" s="26" t="str">
        <f t="shared" si="95"/>
        <v/>
      </c>
      <c r="P288" s="25" t="str">
        <f t="shared" si="96"/>
        <v/>
      </c>
      <c r="Q288" s="27" t="str">
        <f t="shared" si="99"/>
        <v/>
      </c>
      <c r="R288" s="26" t="str">
        <f t="shared" si="100"/>
        <v/>
      </c>
      <c r="S288" s="23" t="str">
        <f>IF(H288=1,VLOOKUP(COUNTIF($H$2:H288,H288),Specyfikacja!$A$5:$D$99,2,0),IF(H288=2,VLOOKUP(COUNTIF($H$2:H288,H288),Specyfikacja!$A$5:$K$99,9,0),""))</f>
        <v/>
      </c>
      <c r="T288" s="23" t="str">
        <f>IF(H288=1,VLOOKUP(COUNTIF($H$2:H288,H288),Specyfikacja!$A$5:$D$99,3,0),IF(H288=2,VLOOKUP(COUNTIF($H$2:H288,H288),Specyfikacja!$A$5:$K$99,10,0),""))</f>
        <v/>
      </c>
      <c r="U288" s="23" t="str">
        <f>SUBSTITUTE(SUBSTITUTE(IF(H288=1,VLOOKUP(COUNTIF($H$2:H288,H288),Specyfikacja!$A$5:$D$99,4,0),IF(H288=2,VLOOKUP(COUNTIF($H$2:H288,H288),Specyfikacja!$A$5:$K$99,11,0),"")),"Tak","YES"),"Nie","NO")</f>
        <v/>
      </c>
    </row>
    <row r="289" spans="1:21" s="7" customFormat="1" ht="12">
      <c r="A289" s="13"/>
      <c r="B289" s="13"/>
      <c r="C289" s="13"/>
      <c r="D289" s="13"/>
      <c r="E289" s="13"/>
      <c r="F289" s="13"/>
      <c r="G289" s="13"/>
      <c r="H289" s="24" t="str">
        <f>IFERROR(IF(COUNTIFS($H$1:H288,H288)&gt;=VLOOKUP(H288,$A$2:$D$309,4,0),IF(H288=MAX($A$2:$A$317),"",Lista!H288+1),H288),"")</f>
        <v/>
      </c>
      <c r="I289" s="22" t="str">
        <f t="shared" si="91"/>
        <v/>
      </c>
      <c r="J289" s="24" t="str">
        <f t="shared" si="92"/>
        <v/>
      </c>
      <c r="K289" s="25" t="str">
        <f t="shared" si="97"/>
        <v/>
      </c>
      <c r="L289" s="26" t="str">
        <f t="shared" si="98"/>
        <v/>
      </c>
      <c r="M289" s="26" t="str">
        <f t="shared" si="93"/>
        <v/>
      </c>
      <c r="N289" s="26" t="str">
        <f t="shared" si="94"/>
        <v/>
      </c>
      <c r="O289" s="26" t="str">
        <f t="shared" si="95"/>
        <v/>
      </c>
      <c r="P289" s="25" t="str">
        <f t="shared" si="96"/>
        <v/>
      </c>
      <c r="Q289" s="27" t="str">
        <f t="shared" si="99"/>
        <v/>
      </c>
      <c r="R289" s="26" t="str">
        <f t="shared" si="100"/>
        <v/>
      </c>
      <c r="S289" s="23" t="str">
        <f>IF(H289=1,VLOOKUP(COUNTIF($H$2:H289,H289),Specyfikacja!$A$5:$D$99,2,0),IF(H289=2,VLOOKUP(COUNTIF($H$2:H289,H289),Specyfikacja!$A$5:$K$99,9,0),""))</f>
        <v/>
      </c>
      <c r="T289" s="23" t="str">
        <f>IF(H289=1,VLOOKUP(COUNTIF($H$2:H289,H289),Specyfikacja!$A$5:$D$99,3,0),IF(H289=2,VLOOKUP(COUNTIF($H$2:H289,H289),Specyfikacja!$A$5:$K$99,10,0),""))</f>
        <v/>
      </c>
      <c r="U289" s="23" t="str">
        <f>SUBSTITUTE(SUBSTITUTE(IF(H289=1,VLOOKUP(COUNTIF($H$2:H289,H289),Specyfikacja!$A$5:$D$99,4,0),IF(H289=2,VLOOKUP(COUNTIF($H$2:H289,H289),Specyfikacja!$A$5:$K$99,11,0),"")),"Tak","YES"),"Nie","NO")</f>
        <v/>
      </c>
    </row>
    <row r="290" spans="1:21" s="7" customFormat="1" ht="12">
      <c r="A290" s="13"/>
      <c r="B290" s="13"/>
      <c r="C290" s="13"/>
      <c r="D290" s="13"/>
      <c r="E290" s="13"/>
      <c r="F290" s="13"/>
      <c r="G290" s="13"/>
      <c r="H290" s="24" t="str">
        <f>IFERROR(IF(COUNTIFS($H$1:H289,H289)&gt;=VLOOKUP(H289,$A$2:$D$309,4,0),IF(H289=MAX($A$2:$A$317),"",Lista!H289+1),H289),"")</f>
        <v/>
      </c>
      <c r="I290" s="22" t="str">
        <f t="shared" si="91"/>
        <v/>
      </c>
      <c r="J290" s="24" t="str">
        <f t="shared" si="92"/>
        <v/>
      </c>
      <c r="K290" s="25" t="str">
        <f t="shared" si="97"/>
        <v/>
      </c>
      <c r="L290" s="26" t="str">
        <f t="shared" si="98"/>
        <v/>
      </c>
      <c r="M290" s="26" t="str">
        <f t="shared" si="93"/>
        <v/>
      </c>
      <c r="N290" s="26" t="str">
        <f t="shared" si="94"/>
        <v/>
      </c>
      <c r="O290" s="26" t="str">
        <f t="shared" si="95"/>
        <v/>
      </c>
      <c r="P290" s="25" t="str">
        <f t="shared" si="96"/>
        <v/>
      </c>
      <c r="Q290" s="27" t="str">
        <f t="shared" si="99"/>
        <v/>
      </c>
      <c r="R290" s="26" t="str">
        <f t="shared" si="100"/>
        <v/>
      </c>
      <c r="S290" s="23" t="str">
        <f>IF(H290=1,VLOOKUP(COUNTIF($H$2:H290,H290),Specyfikacja!$A$5:$D$99,2,0),IF(H290=2,VLOOKUP(COUNTIF($H$2:H290,H290),Specyfikacja!$A$5:$K$99,9,0),""))</f>
        <v/>
      </c>
      <c r="T290" s="23" t="str">
        <f>IF(H290=1,VLOOKUP(COUNTIF($H$2:H290,H290),Specyfikacja!$A$5:$D$99,3,0),IF(H290=2,VLOOKUP(COUNTIF($H$2:H290,H290),Specyfikacja!$A$5:$K$99,10,0),""))</f>
        <v/>
      </c>
      <c r="U290" s="23" t="str">
        <f>SUBSTITUTE(SUBSTITUTE(IF(H290=1,VLOOKUP(COUNTIF($H$2:H290,H290),Specyfikacja!$A$5:$D$99,4,0),IF(H290=2,VLOOKUP(COUNTIF($H$2:H290,H290),Specyfikacja!$A$5:$K$99,11,0),"")),"Tak","YES"),"Nie","NO")</f>
        <v/>
      </c>
    </row>
    <row r="291" spans="1:21" s="7" customFormat="1" ht="12">
      <c r="A291" s="13"/>
      <c r="B291" s="13"/>
      <c r="C291" s="13"/>
      <c r="D291" s="13"/>
      <c r="E291" s="13"/>
      <c r="F291" s="13"/>
      <c r="G291" s="13"/>
      <c r="H291" s="24" t="str">
        <f>IFERROR(IF(COUNTIFS($H$1:H290,H290)&gt;=VLOOKUP(H290,$A$2:$D$309,4,0),IF(H290=MAX($A$2:$A$317),"",Lista!H290+1),H290),"")</f>
        <v/>
      </c>
      <c r="I291" s="22" t="str">
        <f t="shared" si="91"/>
        <v/>
      </c>
      <c r="J291" s="24" t="str">
        <f t="shared" si="92"/>
        <v/>
      </c>
      <c r="K291" s="25" t="str">
        <f t="shared" si="97"/>
        <v/>
      </c>
      <c r="L291" s="26" t="str">
        <f t="shared" si="98"/>
        <v/>
      </c>
      <c r="M291" s="26" t="str">
        <f t="shared" si="93"/>
        <v/>
      </c>
      <c r="N291" s="26" t="str">
        <f t="shared" si="94"/>
        <v/>
      </c>
      <c r="O291" s="26" t="str">
        <f t="shared" si="95"/>
        <v/>
      </c>
      <c r="P291" s="25" t="str">
        <f t="shared" si="96"/>
        <v/>
      </c>
      <c r="Q291" s="27" t="str">
        <f t="shared" si="99"/>
        <v/>
      </c>
      <c r="R291" s="26" t="str">
        <f t="shared" si="100"/>
        <v/>
      </c>
      <c r="S291" s="23" t="str">
        <f>IF(H291=1,VLOOKUP(COUNTIF($H$2:H291,H291),Specyfikacja!$A$5:$D$99,2,0),IF(H291=2,VLOOKUP(COUNTIF($H$2:H291,H291),Specyfikacja!$A$5:$K$99,9,0),""))</f>
        <v/>
      </c>
      <c r="T291" s="23" t="str">
        <f>IF(H291=1,VLOOKUP(COUNTIF($H$2:H291,H291),Specyfikacja!$A$5:$D$99,3,0),IF(H291=2,VLOOKUP(COUNTIF($H$2:H291,H291),Specyfikacja!$A$5:$K$99,10,0),""))</f>
        <v/>
      </c>
      <c r="U291" s="23" t="str">
        <f>SUBSTITUTE(SUBSTITUTE(IF(H291=1,VLOOKUP(COUNTIF($H$2:H291,H291),Specyfikacja!$A$5:$D$99,4,0),IF(H291=2,VLOOKUP(COUNTIF($H$2:H291,H291),Specyfikacja!$A$5:$K$99,11,0),"")),"Tak","YES"),"Nie","NO")</f>
        <v/>
      </c>
    </row>
    <row r="292" spans="1:21" s="7" customFormat="1" ht="12">
      <c r="A292" s="13"/>
      <c r="B292" s="13"/>
      <c r="C292" s="13"/>
      <c r="D292" s="13"/>
      <c r="E292" s="13"/>
      <c r="F292" s="13"/>
      <c r="G292" s="13"/>
      <c r="H292" s="24" t="str">
        <f>IFERROR(IF(COUNTIFS($H$1:H291,H291)&gt;=VLOOKUP(H291,$A$2:$D$309,4,0),IF(H291=MAX($A$2:$A$317),"",Lista!H291+1),H291),"")</f>
        <v/>
      </c>
      <c r="I292" s="22" t="str">
        <f t="shared" si="91"/>
        <v/>
      </c>
      <c r="J292" s="24" t="str">
        <f t="shared" si="92"/>
        <v/>
      </c>
      <c r="K292" s="25" t="str">
        <f t="shared" si="97"/>
        <v/>
      </c>
      <c r="L292" s="26" t="str">
        <f t="shared" si="98"/>
        <v/>
      </c>
      <c r="M292" s="26" t="str">
        <f t="shared" si="93"/>
        <v/>
      </c>
      <c r="N292" s="26" t="str">
        <f t="shared" si="94"/>
        <v/>
      </c>
      <c r="O292" s="26" t="str">
        <f t="shared" si="95"/>
        <v/>
      </c>
      <c r="P292" s="25" t="str">
        <f t="shared" si="96"/>
        <v/>
      </c>
      <c r="Q292" s="27" t="str">
        <f t="shared" si="99"/>
        <v/>
      </c>
      <c r="R292" s="26" t="str">
        <f t="shared" si="100"/>
        <v/>
      </c>
      <c r="S292" s="23" t="str">
        <f>IF(H292=1,VLOOKUP(COUNTIF($H$2:H292,H292),Specyfikacja!$A$5:$D$99,2,0),IF(H292=2,VLOOKUP(COUNTIF($H$2:H292,H292),Specyfikacja!$A$5:$K$99,9,0),""))</f>
        <v/>
      </c>
      <c r="T292" s="23" t="str">
        <f>IF(H292=1,VLOOKUP(COUNTIF($H$2:H292,H292),Specyfikacja!$A$5:$D$99,3,0),IF(H292=2,VLOOKUP(COUNTIF($H$2:H292,H292),Specyfikacja!$A$5:$K$99,10,0),""))</f>
        <v/>
      </c>
      <c r="U292" s="23" t="str">
        <f>SUBSTITUTE(SUBSTITUTE(IF(H292=1,VLOOKUP(COUNTIF($H$2:H292,H292),Specyfikacja!$A$5:$D$99,4,0),IF(H292=2,VLOOKUP(COUNTIF($H$2:H292,H292),Specyfikacja!$A$5:$K$99,11,0),"")),"Tak","YES"),"Nie","NO")</f>
        <v/>
      </c>
    </row>
    <row r="293" spans="1:21" s="7" customFormat="1" ht="12">
      <c r="A293" s="13"/>
      <c r="B293" s="13"/>
      <c r="C293" s="13"/>
      <c r="D293" s="13"/>
      <c r="E293" s="13"/>
      <c r="F293" s="13"/>
      <c r="G293" s="13"/>
      <c r="H293" s="24" t="str">
        <f>IFERROR(IF(COUNTIFS($H$1:H292,H292)&gt;=VLOOKUP(H292,$A$2:$D$309,4,0),IF(H292=MAX($A$2:$A$317),"",Lista!H292+1),H292),"")</f>
        <v/>
      </c>
      <c r="I293" s="22" t="str">
        <f t="shared" si="91"/>
        <v/>
      </c>
      <c r="J293" s="24" t="str">
        <f t="shared" si="92"/>
        <v/>
      </c>
      <c r="K293" s="25" t="str">
        <f t="shared" si="97"/>
        <v/>
      </c>
      <c r="L293" s="26" t="str">
        <f t="shared" si="98"/>
        <v/>
      </c>
      <c r="M293" s="26" t="str">
        <f t="shared" si="93"/>
        <v/>
      </c>
      <c r="N293" s="26" t="str">
        <f t="shared" si="94"/>
        <v/>
      </c>
      <c r="O293" s="26" t="str">
        <f t="shared" si="95"/>
        <v/>
      </c>
      <c r="P293" s="25" t="str">
        <f t="shared" si="96"/>
        <v/>
      </c>
      <c r="Q293" s="27" t="str">
        <f t="shared" si="99"/>
        <v/>
      </c>
      <c r="R293" s="26" t="str">
        <f t="shared" si="100"/>
        <v/>
      </c>
      <c r="S293" s="23" t="str">
        <f>IF(H293=1,VLOOKUP(COUNTIF($H$2:H293,H293),Specyfikacja!$A$5:$D$99,2,0),IF(H293=2,VLOOKUP(COUNTIF($H$2:H293,H293),Specyfikacja!$A$5:$K$99,9,0),""))</f>
        <v/>
      </c>
      <c r="T293" s="23" t="str">
        <f>IF(H293=1,VLOOKUP(COUNTIF($H$2:H293,H293),Specyfikacja!$A$5:$D$99,3,0),IF(H293=2,VLOOKUP(COUNTIF($H$2:H293,H293),Specyfikacja!$A$5:$K$99,10,0),""))</f>
        <v/>
      </c>
      <c r="U293" s="23" t="str">
        <f>SUBSTITUTE(SUBSTITUTE(IF(H293=1,VLOOKUP(COUNTIF($H$2:H293,H293),Specyfikacja!$A$5:$D$99,4,0),IF(H293=2,VLOOKUP(COUNTIF($H$2:H293,H293),Specyfikacja!$A$5:$K$99,11,0),"")),"Tak","YES"),"Nie","NO")</f>
        <v/>
      </c>
    </row>
    <row r="294" spans="1:21" s="7" customFormat="1" ht="12">
      <c r="A294" s="13"/>
      <c r="B294" s="13"/>
      <c r="C294" s="13"/>
      <c r="D294" s="13"/>
      <c r="E294" s="13"/>
      <c r="F294" s="13"/>
      <c r="G294" s="13"/>
      <c r="H294" s="24" t="str">
        <f>IFERROR(IF(COUNTIFS($H$1:H293,H293)&gt;=VLOOKUP(H293,$A$2:$D$309,4,0),IF(H293=MAX($A$2:$A$317),"",Lista!H293+1),H293),"")</f>
        <v/>
      </c>
      <c r="I294" s="22" t="str">
        <f t="shared" si="91"/>
        <v/>
      </c>
      <c r="J294" s="24" t="str">
        <f t="shared" si="92"/>
        <v/>
      </c>
      <c r="K294" s="25" t="str">
        <f t="shared" si="97"/>
        <v/>
      </c>
      <c r="L294" s="26" t="str">
        <f t="shared" si="98"/>
        <v/>
      </c>
      <c r="M294" s="26" t="str">
        <f t="shared" si="93"/>
        <v/>
      </c>
      <c r="N294" s="26" t="str">
        <f t="shared" si="94"/>
        <v/>
      </c>
      <c r="O294" s="26" t="str">
        <f t="shared" si="95"/>
        <v/>
      </c>
      <c r="P294" s="25" t="str">
        <f t="shared" si="96"/>
        <v/>
      </c>
      <c r="Q294" s="27" t="str">
        <f t="shared" si="99"/>
        <v/>
      </c>
      <c r="R294" s="26" t="str">
        <f t="shared" si="100"/>
        <v/>
      </c>
      <c r="S294" s="23" t="str">
        <f>IF(H294=1,VLOOKUP(COUNTIF($H$2:H294,H294),Specyfikacja!$A$5:$D$99,2,0),IF(H294=2,VLOOKUP(COUNTIF($H$2:H294,H294),Specyfikacja!$A$5:$K$99,9,0),""))</f>
        <v/>
      </c>
      <c r="T294" s="23" t="str">
        <f>IF(H294=1,VLOOKUP(COUNTIF($H$2:H294,H294),Specyfikacja!$A$5:$D$99,3,0),IF(H294=2,VLOOKUP(COUNTIF($H$2:H294,H294),Specyfikacja!$A$5:$K$99,10,0),""))</f>
        <v/>
      </c>
      <c r="U294" s="23" t="str">
        <f>SUBSTITUTE(SUBSTITUTE(IF(H294=1,VLOOKUP(COUNTIF($H$2:H294,H294),Specyfikacja!$A$5:$D$99,4,0),IF(H294=2,VLOOKUP(COUNTIF($H$2:H294,H294),Specyfikacja!$A$5:$K$99,11,0),"")),"Tak","YES"),"Nie","NO")</f>
        <v/>
      </c>
    </row>
    <row r="295" spans="1:21" s="7" customFormat="1" ht="12">
      <c r="A295" s="13"/>
      <c r="B295" s="13"/>
      <c r="C295" s="13"/>
      <c r="D295" s="13"/>
      <c r="E295" s="13"/>
      <c r="F295" s="13"/>
      <c r="G295" s="13"/>
      <c r="H295" s="24" t="str">
        <f>IFERROR(IF(COUNTIFS($H$1:H294,H294)&gt;=VLOOKUP(H294,$A$2:$D$309,4,0),IF(H294=MAX($A$2:$A$317),"",Lista!H294+1),H294),"")</f>
        <v/>
      </c>
      <c r="I295" s="22" t="str">
        <f t="shared" si="91"/>
        <v/>
      </c>
      <c r="J295" s="24" t="str">
        <f t="shared" si="92"/>
        <v/>
      </c>
      <c r="K295" s="25" t="str">
        <f t="shared" si="97"/>
        <v/>
      </c>
      <c r="L295" s="26" t="str">
        <f t="shared" si="98"/>
        <v/>
      </c>
      <c r="M295" s="26" t="str">
        <f t="shared" si="93"/>
        <v/>
      </c>
      <c r="N295" s="26" t="str">
        <f t="shared" si="94"/>
        <v/>
      </c>
      <c r="O295" s="26" t="str">
        <f t="shared" si="95"/>
        <v/>
      </c>
      <c r="P295" s="25" t="str">
        <f t="shared" si="96"/>
        <v/>
      </c>
      <c r="Q295" s="27" t="str">
        <f t="shared" si="99"/>
        <v/>
      </c>
      <c r="R295" s="26" t="str">
        <f t="shared" si="100"/>
        <v/>
      </c>
      <c r="S295" s="23" t="str">
        <f>IF(H295=1,VLOOKUP(COUNTIF($H$2:H295,H295),Specyfikacja!$A$5:$D$99,2,0),IF(H295=2,VLOOKUP(COUNTIF($H$2:H295,H295),Specyfikacja!$A$5:$K$99,9,0),""))</f>
        <v/>
      </c>
      <c r="T295" s="23" t="str">
        <f>IF(H295=1,VLOOKUP(COUNTIF($H$2:H295,H295),Specyfikacja!$A$5:$D$99,3,0),IF(H295=2,VLOOKUP(COUNTIF($H$2:H295,H295),Specyfikacja!$A$5:$K$99,10,0),""))</f>
        <v/>
      </c>
      <c r="U295" s="23" t="str">
        <f>SUBSTITUTE(SUBSTITUTE(IF(H295=1,VLOOKUP(COUNTIF($H$2:H295,H295),Specyfikacja!$A$5:$D$99,4,0),IF(H295=2,VLOOKUP(COUNTIF($H$2:H295,H295),Specyfikacja!$A$5:$K$99,11,0),"")),"Tak","YES"),"Nie","NO")</f>
        <v/>
      </c>
    </row>
    <row r="296" spans="1:21" s="7" customFormat="1" ht="12">
      <c r="A296" s="13"/>
      <c r="B296" s="13"/>
      <c r="C296" s="13"/>
      <c r="D296" s="13"/>
      <c r="E296" s="13"/>
      <c r="F296" s="13"/>
      <c r="G296" s="13"/>
      <c r="H296" s="24" t="str">
        <f>IFERROR(IF(COUNTIFS($H$1:H295,H295)&gt;=VLOOKUP(H295,$A$2:$D$309,4,0),IF(H295=MAX($A$2:$A$317),"",Lista!H295+1),H295),"")</f>
        <v/>
      </c>
      <c r="I296" s="22" t="str">
        <f t="shared" si="91"/>
        <v/>
      </c>
      <c r="J296" s="24" t="str">
        <f t="shared" si="92"/>
        <v/>
      </c>
      <c r="K296" s="25" t="str">
        <f t="shared" si="97"/>
        <v/>
      </c>
      <c r="L296" s="26" t="str">
        <f t="shared" si="98"/>
        <v/>
      </c>
      <c r="M296" s="26" t="str">
        <f t="shared" si="93"/>
        <v/>
      </c>
      <c r="N296" s="26" t="str">
        <f t="shared" si="94"/>
        <v/>
      </c>
      <c r="O296" s="26" t="str">
        <f t="shared" si="95"/>
        <v/>
      </c>
      <c r="P296" s="25" t="str">
        <f t="shared" si="96"/>
        <v/>
      </c>
      <c r="Q296" s="27" t="str">
        <f t="shared" si="99"/>
        <v/>
      </c>
      <c r="R296" s="26" t="str">
        <f t="shared" si="100"/>
        <v/>
      </c>
      <c r="S296" s="23" t="str">
        <f>IF(H296=1,VLOOKUP(COUNTIF($H$2:H296,H296),Specyfikacja!$A$5:$D$99,2,0),IF(H296=2,VLOOKUP(COUNTIF($H$2:H296,H296),Specyfikacja!$A$5:$K$99,9,0),""))</f>
        <v/>
      </c>
      <c r="T296" s="23" t="str">
        <f>IF(H296=1,VLOOKUP(COUNTIF($H$2:H296,H296),Specyfikacja!$A$5:$D$99,3,0),IF(H296=2,VLOOKUP(COUNTIF($H$2:H296,H296),Specyfikacja!$A$5:$K$99,10,0),""))</f>
        <v/>
      </c>
      <c r="U296" s="23" t="str">
        <f>SUBSTITUTE(SUBSTITUTE(IF(H296=1,VLOOKUP(COUNTIF($H$2:H296,H296),Specyfikacja!$A$5:$D$99,4,0),IF(H296=2,VLOOKUP(COUNTIF($H$2:H296,H296),Specyfikacja!$A$5:$K$99,11,0),"")),"Tak","YES"),"Nie","NO")</f>
        <v/>
      </c>
    </row>
    <row r="297" spans="1:21" s="7" customFormat="1" ht="12">
      <c r="A297" s="13"/>
      <c r="B297" s="13"/>
      <c r="C297" s="13"/>
      <c r="D297" s="13"/>
      <c r="E297" s="13"/>
      <c r="F297" s="13"/>
      <c r="G297" s="13"/>
      <c r="H297" s="24" t="str">
        <f>IFERROR(IF(COUNTIFS($H$1:H296,H296)&gt;=VLOOKUP(H296,$A$2:$D$309,4,0),IF(H296=MAX($A$2:$A$317),"",Lista!H296+1),H296),"")</f>
        <v/>
      </c>
      <c r="I297" s="22" t="str">
        <f t="shared" si="91"/>
        <v/>
      </c>
      <c r="J297" s="24" t="str">
        <f t="shared" si="92"/>
        <v/>
      </c>
      <c r="K297" s="25" t="str">
        <f t="shared" si="97"/>
        <v/>
      </c>
      <c r="L297" s="26" t="str">
        <f t="shared" si="98"/>
        <v/>
      </c>
      <c r="M297" s="26" t="str">
        <f t="shared" si="93"/>
        <v/>
      </c>
      <c r="N297" s="26" t="str">
        <f t="shared" si="94"/>
        <v/>
      </c>
      <c r="O297" s="26" t="str">
        <f t="shared" si="95"/>
        <v/>
      </c>
      <c r="P297" s="25" t="str">
        <f t="shared" si="96"/>
        <v/>
      </c>
      <c r="Q297" s="27" t="str">
        <f t="shared" si="99"/>
        <v/>
      </c>
      <c r="R297" s="26" t="str">
        <f t="shared" si="100"/>
        <v/>
      </c>
      <c r="S297" s="23" t="str">
        <f>IF(H297=1,VLOOKUP(COUNTIF($H$2:H297,H297),Specyfikacja!$A$5:$D$99,2,0),IF(H297=2,VLOOKUP(COUNTIF($H$2:H297,H297),Specyfikacja!$A$5:$K$99,9,0),""))</f>
        <v/>
      </c>
      <c r="T297" s="23" t="str">
        <f>IF(H297=1,VLOOKUP(COUNTIF($H$2:H297,H297),Specyfikacja!$A$5:$D$99,3,0),IF(H297=2,VLOOKUP(COUNTIF($H$2:H297,H297),Specyfikacja!$A$5:$K$99,10,0),""))</f>
        <v/>
      </c>
      <c r="U297" s="23" t="str">
        <f>SUBSTITUTE(SUBSTITUTE(IF(H297=1,VLOOKUP(COUNTIF($H$2:H297,H297),Specyfikacja!$A$5:$D$99,4,0),IF(H297=2,VLOOKUP(COUNTIF($H$2:H297,H297),Specyfikacja!$A$5:$K$99,11,0),"")),"Tak","YES"),"Nie","NO")</f>
        <v/>
      </c>
    </row>
    <row r="298" spans="1:21" s="7" customFormat="1" ht="12">
      <c r="A298" s="13"/>
      <c r="B298" s="13"/>
      <c r="C298" s="13"/>
      <c r="D298" s="13"/>
      <c r="E298" s="13"/>
      <c r="F298" s="13"/>
      <c r="G298" s="13"/>
      <c r="H298" s="24" t="str">
        <f>IFERROR(IF(COUNTIFS($H$1:H297,H297)&gt;=VLOOKUP(H297,$A$2:$D$309,4,0),IF(H297=MAX($A$2:$A$317),"",Lista!H297+1),H297),"")</f>
        <v/>
      </c>
      <c r="I298" s="22" t="str">
        <f t="shared" si="91"/>
        <v/>
      </c>
      <c r="J298" s="24" t="str">
        <f t="shared" si="92"/>
        <v/>
      </c>
      <c r="K298" s="25" t="str">
        <f t="shared" si="97"/>
        <v/>
      </c>
      <c r="L298" s="26" t="str">
        <f t="shared" si="98"/>
        <v/>
      </c>
      <c r="M298" s="26" t="str">
        <f t="shared" si="93"/>
        <v/>
      </c>
      <c r="N298" s="26" t="str">
        <f t="shared" si="94"/>
        <v/>
      </c>
      <c r="O298" s="26" t="str">
        <f t="shared" si="95"/>
        <v/>
      </c>
      <c r="P298" s="25" t="str">
        <f t="shared" si="96"/>
        <v/>
      </c>
      <c r="Q298" s="27" t="str">
        <f t="shared" si="99"/>
        <v/>
      </c>
      <c r="R298" s="26" t="str">
        <f t="shared" si="100"/>
        <v/>
      </c>
      <c r="S298" s="23" t="str">
        <f>IF(H298=1,VLOOKUP(COUNTIF($H$2:H298,H298),Specyfikacja!$A$5:$D$99,2,0),IF(H298=2,VLOOKUP(COUNTIF($H$2:H298,H298),Specyfikacja!$A$5:$K$99,9,0),""))</f>
        <v/>
      </c>
      <c r="T298" s="23" t="str">
        <f>IF(H298=1,VLOOKUP(COUNTIF($H$2:H298,H298),Specyfikacja!$A$5:$D$99,3,0),IF(H298=2,VLOOKUP(COUNTIF($H$2:H298,H298),Specyfikacja!$A$5:$K$99,10,0),""))</f>
        <v/>
      </c>
      <c r="U298" s="23" t="str">
        <f>SUBSTITUTE(SUBSTITUTE(IF(H298=1,VLOOKUP(COUNTIF($H$2:H298,H298),Specyfikacja!$A$5:$D$99,4,0),IF(H298=2,VLOOKUP(COUNTIF($H$2:H298,H298),Specyfikacja!$A$5:$K$99,11,0),"")),"Tak","YES"),"Nie","NO")</f>
        <v/>
      </c>
    </row>
    <row r="299" spans="1:21" s="7" customFormat="1" ht="12">
      <c r="A299" s="13"/>
      <c r="B299" s="13"/>
      <c r="C299" s="13"/>
      <c r="D299" s="13"/>
      <c r="E299" s="13"/>
      <c r="F299" s="13"/>
      <c r="G299" s="13"/>
      <c r="H299" s="24" t="str">
        <f>IFERROR(IF(COUNTIFS($H$1:H298,H298)&gt;=VLOOKUP(H298,$A$2:$D$309,4,0),IF(H298=MAX($A$2:$A$317),"",Lista!H298+1),H298),"")</f>
        <v/>
      </c>
      <c r="I299" s="22" t="str">
        <f t="shared" si="91"/>
        <v/>
      </c>
      <c r="J299" s="24" t="str">
        <f t="shared" si="92"/>
        <v/>
      </c>
      <c r="K299" s="25" t="str">
        <f t="shared" si="97"/>
        <v/>
      </c>
      <c r="L299" s="26" t="str">
        <f t="shared" si="98"/>
        <v/>
      </c>
      <c r="M299" s="26" t="str">
        <f t="shared" si="93"/>
        <v/>
      </c>
      <c r="N299" s="26" t="str">
        <f t="shared" si="94"/>
        <v/>
      </c>
      <c r="O299" s="26" t="str">
        <f t="shared" si="95"/>
        <v/>
      </c>
      <c r="P299" s="25" t="str">
        <f t="shared" si="96"/>
        <v/>
      </c>
      <c r="Q299" s="27" t="str">
        <f t="shared" si="99"/>
        <v/>
      </c>
      <c r="R299" s="26" t="str">
        <f t="shared" si="100"/>
        <v/>
      </c>
      <c r="S299" s="23" t="str">
        <f>IF(H299=1,VLOOKUP(COUNTIF($H$2:H299,H299),Specyfikacja!$A$5:$D$99,2,0),IF(H299=2,VLOOKUP(COUNTIF($H$2:H299,H299),Specyfikacja!$A$5:$K$99,9,0),""))</f>
        <v/>
      </c>
      <c r="T299" s="23" t="str">
        <f>IF(H299=1,VLOOKUP(COUNTIF($H$2:H299,H299),Specyfikacja!$A$5:$D$99,3,0),IF(H299=2,VLOOKUP(COUNTIF($H$2:H299,H299),Specyfikacja!$A$5:$K$99,10,0),""))</f>
        <v/>
      </c>
      <c r="U299" s="23" t="str">
        <f>SUBSTITUTE(SUBSTITUTE(IF(H299=1,VLOOKUP(COUNTIF($H$2:H299,H299),Specyfikacja!$A$5:$D$99,4,0),IF(H299=2,VLOOKUP(COUNTIF($H$2:H299,H299),Specyfikacja!$A$5:$K$99,11,0),"")),"Tak","YES"),"Nie","NO")</f>
        <v/>
      </c>
    </row>
    <row r="300" spans="1:21" s="7" customFormat="1" ht="12">
      <c r="A300" s="13"/>
      <c r="B300" s="13"/>
      <c r="C300" s="13"/>
      <c r="D300" s="13"/>
      <c r="E300" s="13"/>
      <c r="F300" s="13"/>
      <c r="G300" s="13"/>
      <c r="H300" s="24" t="str">
        <f>IFERROR(IF(COUNTIFS($H$1:H299,H299)&gt;=VLOOKUP(H299,$A$2:$D$309,4,0),IF(H299=MAX($A$2:$A$317),"",Lista!H299+1),H299),"")</f>
        <v/>
      </c>
      <c r="I300" s="22" t="str">
        <f t="shared" si="91"/>
        <v/>
      </c>
      <c r="J300" s="24" t="str">
        <f t="shared" si="92"/>
        <v/>
      </c>
      <c r="K300" s="25" t="str">
        <f t="shared" si="97"/>
        <v/>
      </c>
      <c r="L300" s="26" t="str">
        <f t="shared" si="98"/>
        <v/>
      </c>
      <c r="M300" s="26" t="str">
        <f t="shared" si="93"/>
        <v/>
      </c>
      <c r="N300" s="26" t="str">
        <f t="shared" si="94"/>
        <v/>
      </c>
      <c r="O300" s="26" t="str">
        <f t="shared" si="95"/>
        <v/>
      </c>
      <c r="P300" s="25" t="str">
        <f t="shared" si="96"/>
        <v/>
      </c>
      <c r="Q300" s="27" t="str">
        <f t="shared" si="99"/>
        <v/>
      </c>
      <c r="R300" s="26" t="str">
        <f t="shared" si="100"/>
        <v/>
      </c>
      <c r="S300" s="23" t="str">
        <f>IF(H300=1,VLOOKUP(COUNTIF($H$2:H300,H300),Specyfikacja!$A$5:$D$99,2,0),IF(H300=2,VLOOKUP(COUNTIF($H$2:H300,H300),Specyfikacja!$A$5:$K$99,9,0),""))</f>
        <v/>
      </c>
      <c r="T300" s="23" t="str">
        <f>IF(H300=1,VLOOKUP(COUNTIF($H$2:H300,H300),Specyfikacja!$A$5:$D$99,3,0),IF(H300=2,VLOOKUP(COUNTIF($H$2:H300,H300),Specyfikacja!$A$5:$K$99,10,0),""))</f>
        <v/>
      </c>
      <c r="U300" s="23" t="str">
        <f>SUBSTITUTE(SUBSTITUTE(IF(H300=1,VLOOKUP(COUNTIF($H$2:H300,H300),Specyfikacja!$A$5:$D$99,4,0),IF(H300=2,VLOOKUP(COUNTIF($H$2:H300,H300),Specyfikacja!$A$5:$K$99,11,0),"")),"Tak","YES"),"Nie","NO")</f>
        <v/>
      </c>
    </row>
    <row r="301" spans="1:21" s="7" customFormat="1" ht="12">
      <c r="A301" s="13"/>
      <c r="B301" s="13"/>
      <c r="C301" s="13"/>
      <c r="D301" s="13"/>
      <c r="E301" s="13"/>
      <c r="F301" s="13"/>
      <c r="G301" s="13"/>
      <c r="H301" s="24" t="str">
        <f>IFERROR(IF(COUNTIFS($H$1:H300,H300)&gt;=VLOOKUP(H300,$A$2:$D$309,4,0),IF(H300=MAX($A$2:$A$317),"",Lista!H300+1),H300),"")</f>
        <v/>
      </c>
      <c r="I301" s="22" t="str">
        <f t="shared" si="91"/>
        <v/>
      </c>
      <c r="J301" s="24" t="str">
        <f t="shared" si="92"/>
        <v/>
      </c>
      <c r="K301" s="25" t="str">
        <f t="shared" si="97"/>
        <v/>
      </c>
      <c r="L301" s="26" t="str">
        <f t="shared" si="98"/>
        <v/>
      </c>
      <c r="M301" s="26" t="str">
        <f t="shared" si="93"/>
        <v/>
      </c>
      <c r="N301" s="26" t="str">
        <f t="shared" si="94"/>
        <v/>
      </c>
      <c r="O301" s="26" t="str">
        <f t="shared" si="95"/>
        <v/>
      </c>
      <c r="P301" s="25" t="str">
        <f t="shared" si="96"/>
        <v/>
      </c>
      <c r="Q301" s="27" t="str">
        <f t="shared" si="99"/>
        <v/>
      </c>
      <c r="R301" s="26" t="str">
        <f t="shared" si="100"/>
        <v/>
      </c>
      <c r="S301" s="23" t="str">
        <f>IF(H301=1,VLOOKUP(COUNTIF($H$2:H301,H301),Specyfikacja!$A$5:$D$99,2,0),IF(H301=2,VLOOKUP(COUNTIF($H$2:H301,H301),Specyfikacja!$A$5:$K$99,9,0),""))</f>
        <v/>
      </c>
      <c r="T301" s="23" t="str">
        <f>IF(H301=1,VLOOKUP(COUNTIF($H$2:H301,H301),Specyfikacja!$A$5:$D$99,3,0),IF(H301=2,VLOOKUP(COUNTIF($H$2:H301,H301),Specyfikacja!$A$5:$K$99,10,0),""))</f>
        <v/>
      </c>
      <c r="U301" s="23" t="str">
        <f>SUBSTITUTE(SUBSTITUTE(IF(H301=1,VLOOKUP(COUNTIF($H$2:H301,H301),Specyfikacja!$A$5:$D$99,4,0),IF(H301=2,VLOOKUP(COUNTIF($H$2:H301,H301),Specyfikacja!$A$5:$K$99,11,0),"")),"Tak","YES"),"Nie","NO")</f>
        <v/>
      </c>
    </row>
    <row r="302" spans="1:21" s="7" customFormat="1" ht="12">
      <c r="A302" s="13"/>
      <c r="B302" s="13"/>
      <c r="C302" s="13"/>
      <c r="D302" s="13"/>
      <c r="E302" s="13"/>
      <c r="F302" s="13"/>
      <c r="G302" s="13"/>
      <c r="H302" s="24" t="str">
        <f>IFERROR(IF(COUNTIFS($H$1:H301,H301)&gt;=VLOOKUP(H301,$A$2:$D$309,4,0),IF(H301=MAX($A$2:$A$317),"",Lista!H301+1),H301),"")</f>
        <v/>
      </c>
      <c r="I302" s="22" t="str">
        <f t="shared" si="91"/>
        <v/>
      </c>
      <c r="J302" s="24" t="str">
        <f t="shared" si="92"/>
        <v/>
      </c>
      <c r="K302" s="25" t="str">
        <f t="shared" si="97"/>
        <v/>
      </c>
      <c r="L302" s="26" t="str">
        <f t="shared" si="98"/>
        <v/>
      </c>
      <c r="M302" s="26" t="str">
        <f t="shared" si="93"/>
        <v/>
      </c>
      <c r="N302" s="26" t="str">
        <f t="shared" si="94"/>
        <v/>
      </c>
      <c r="O302" s="26" t="str">
        <f t="shared" si="95"/>
        <v/>
      </c>
      <c r="P302" s="25" t="str">
        <f t="shared" si="96"/>
        <v/>
      </c>
      <c r="Q302" s="27" t="str">
        <f t="shared" si="99"/>
        <v/>
      </c>
      <c r="R302" s="26" t="str">
        <f t="shared" si="100"/>
        <v/>
      </c>
      <c r="S302" s="23" t="str">
        <f>IF(H302=1,VLOOKUP(COUNTIF($H$2:H302,H302),Specyfikacja!$A$5:$D$99,2,0),IF(H302=2,VLOOKUP(COUNTIF($H$2:H302,H302),Specyfikacja!$A$5:$K$99,9,0),""))</f>
        <v/>
      </c>
      <c r="T302" s="23" t="str">
        <f>IF(H302=1,VLOOKUP(COUNTIF($H$2:H302,H302),Specyfikacja!$A$5:$D$99,3,0),IF(H302=2,VLOOKUP(COUNTIF($H$2:H302,H302),Specyfikacja!$A$5:$K$99,10,0),""))</f>
        <v/>
      </c>
      <c r="U302" s="23" t="str">
        <f>SUBSTITUTE(SUBSTITUTE(IF(H302=1,VLOOKUP(COUNTIF($H$2:H302,H302),Specyfikacja!$A$5:$D$99,4,0),IF(H302=2,VLOOKUP(COUNTIF($H$2:H302,H302),Specyfikacja!$A$5:$K$99,11,0),"")),"Tak","YES"),"Nie","NO")</f>
        <v/>
      </c>
    </row>
    <row r="303" spans="1:21" s="7" customFormat="1" ht="12">
      <c r="A303" s="13"/>
      <c r="B303" s="13"/>
      <c r="C303" s="13"/>
      <c r="D303" s="13"/>
      <c r="E303" s="13"/>
      <c r="F303" s="13"/>
      <c r="G303" s="13"/>
      <c r="H303" s="24" t="str">
        <f>IFERROR(IF(COUNTIFS($H$1:H302,H302)&gt;=VLOOKUP(H302,$A$2:$D$309,4,0),IF(H302=MAX($A$2:$A$317),"",Lista!H302+1),H302),"")</f>
        <v/>
      </c>
      <c r="I303" s="22" t="str">
        <f t="shared" si="91"/>
        <v/>
      </c>
      <c r="J303" s="24" t="str">
        <f t="shared" si="92"/>
        <v/>
      </c>
      <c r="K303" s="25" t="str">
        <f t="shared" si="97"/>
        <v/>
      </c>
      <c r="L303" s="26" t="str">
        <f t="shared" si="98"/>
        <v/>
      </c>
      <c r="M303" s="26" t="str">
        <f t="shared" si="93"/>
        <v/>
      </c>
      <c r="N303" s="26" t="str">
        <f t="shared" si="94"/>
        <v/>
      </c>
      <c r="O303" s="26" t="str">
        <f t="shared" si="95"/>
        <v/>
      </c>
      <c r="P303" s="25" t="str">
        <f t="shared" si="96"/>
        <v/>
      </c>
      <c r="Q303" s="27" t="str">
        <f t="shared" si="99"/>
        <v/>
      </c>
      <c r="R303" s="26" t="str">
        <f t="shared" si="100"/>
        <v/>
      </c>
      <c r="S303" s="23" t="str">
        <f>IF(H303=1,VLOOKUP(COUNTIF($H$2:H303,H303),Specyfikacja!$A$5:$D$99,2,0),IF(H303=2,VLOOKUP(COUNTIF($H$2:H303,H303),Specyfikacja!$A$5:$K$99,9,0),""))</f>
        <v/>
      </c>
      <c r="T303" s="23" t="str">
        <f>IF(H303=1,VLOOKUP(COUNTIF($H$2:H303,H303),Specyfikacja!$A$5:$D$99,3,0),IF(H303=2,VLOOKUP(COUNTIF($H$2:H303,H303),Specyfikacja!$A$5:$K$99,10,0),""))</f>
        <v/>
      </c>
      <c r="U303" s="23" t="str">
        <f>SUBSTITUTE(SUBSTITUTE(IF(H303=1,VLOOKUP(COUNTIF($H$2:H303,H303),Specyfikacja!$A$5:$D$99,4,0),IF(H303=2,VLOOKUP(COUNTIF($H$2:H303,H303),Specyfikacja!$A$5:$K$99,11,0),"")),"Tak","YES"),"Nie","NO")</f>
        <v/>
      </c>
    </row>
    <row r="304" spans="1:21" s="7" customFormat="1" ht="12">
      <c r="A304" s="13"/>
      <c r="B304" s="13"/>
      <c r="C304" s="13"/>
      <c r="D304" s="13"/>
      <c r="E304" s="13"/>
      <c r="F304" s="13"/>
      <c r="G304" s="13"/>
      <c r="H304" s="24" t="str">
        <f>IFERROR(IF(COUNTIFS($H$1:H303,H303)&gt;=VLOOKUP(H303,$A$2:$D$309,4,0),IF(H303=MAX($A$2:$A$317),"",Lista!H303+1),H303),"")</f>
        <v/>
      </c>
      <c r="I304" s="22" t="str">
        <f t="shared" si="91"/>
        <v/>
      </c>
      <c r="J304" s="24" t="str">
        <f t="shared" si="92"/>
        <v/>
      </c>
      <c r="K304" s="25" t="str">
        <f t="shared" si="97"/>
        <v/>
      </c>
      <c r="L304" s="26" t="str">
        <f t="shared" si="98"/>
        <v/>
      </c>
      <c r="M304" s="26" t="str">
        <f t="shared" si="93"/>
        <v/>
      </c>
      <c r="N304" s="26" t="str">
        <f t="shared" si="94"/>
        <v/>
      </c>
      <c r="O304" s="26" t="str">
        <f t="shared" si="95"/>
        <v/>
      </c>
      <c r="P304" s="25" t="str">
        <f t="shared" si="96"/>
        <v/>
      </c>
      <c r="Q304" s="27" t="str">
        <f t="shared" si="99"/>
        <v/>
      </c>
      <c r="R304" s="26" t="str">
        <f t="shared" si="100"/>
        <v/>
      </c>
      <c r="S304" s="23" t="str">
        <f>IF(H304=1,VLOOKUP(COUNTIF($H$2:H304,H304),Specyfikacja!$A$5:$D$99,2,0),IF(H304=2,VLOOKUP(COUNTIF($H$2:H304,H304),Specyfikacja!$A$5:$K$99,9,0),""))</f>
        <v/>
      </c>
      <c r="T304" s="23" t="str">
        <f>IF(H304=1,VLOOKUP(COUNTIF($H$2:H304,H304),Specyfikacja!$A$5:$D$99,3,0),IF(H304=2,VLOOKUP(COUNTIF($H$2:H304,H304),Specyfikacja!$A$5:$K$99,10,0),""))</f>
        <v/>
      </c>
      <c r="U304" s="23" t="str">
        <f>SUBSTITUTE(SUBSTITUTE(IF(H304=1,VLOOKUP(COUNTIF($H$2:H304,H304),Specyfikacja!$A$5:$D$99,4,0),IF(H304=2,VLOOKUP(COUNTIF($H$2:H304,H304),Specyfikacja!$A$5:$K$99,11,0),"")),"Tak","YES"),"Nie","NO")</f>
        <v/>
      </c>
    </row>
    <row r="305" spans="1:21" s="7" customFormat="1" ht="12">
      <c r="A305" s="13"/>
      <c r="B305" s="13"/>
      <c r="C305" s="13"/>
      <c r="D305" s="13"/>
      <c r="E305" s="13"/>
      <c r="F305" s="13"/>
      <c r="G305" s="13"/>
      <c r="H305" s="24" t="str">
        <f>IFERROR(IF(COUNTIFS($H$1:H304,H304)&gt;=VLOOKUP(H304,$A$2:$D$309,4,0),IF(H304=MAX($A$2:$A$317),"",Lista!H304+1),H304),"")</f>
        <v/>
      </c>
      <c r="I305" s="22" t="str">
        <f t="shared" si="91"/>
        <v/>
      </c>
      <c r="J305" s="24" t="str">
        <f t="shared" si="92"/>
        <v/>
      </c>
      <c r="K305" s="25" t="str">
        <f t="shared" si="97"/>
        <v/>
      </c>
      <c r="L305" s="26" t="str">
        <f t="shared" si="98"/>
        <v/>
      </c>
      <c r="M305" s="26" t="str">
        <f t="shared" si="93"/>
        <v/>
      </c>
      <c r="N305" s="26" t="str">
        <f t="shared" si="94"/>
        <v/>
      </c>
      <c r="O305" s="26" t="str">
        <f t="shared" si="95"/>
        <v/>
      </c>
      <c r="P305" s="25" t="str">
        <f t="shared" si="96"/>
        <v/>
      </c>
      <c r="Q305" s="27" t="str">
        <f t="shared" si="99"/>
        <v/>
      </c>
      <c r="R305" s="26" t="str">
        <f t="shared" si="100"/>
        <v/>
      </c>
      <c r="S305" s="23" t="str">
        <f>IF(H305=1,VLOOKUP(COUNTIF($H$2:H305,H305),Specyfikacja!$A$5:$D$99,2,0),IF(H305=2,VLOOKUP(COUNTIF($H$2:H305,H305),Specyfikacja!$A$5:$K$99,9,0),""))</f>
        <v/>
      </c>
      <c r="T305" s="23" t="str">
        <f>IF(H305=1,VLOOKUP(COUNTIF($H$2:H305,H305),Specyfikacja!$A$5:$D$99,3,0),IF(H305=2,VLOOKUP(COUNTIF($H$2:H305,H305),Specyfikacja!$A$5:$K$99,10,0),""))</f>
        <v/>
      </c>
      <c r="U305" s="23" t="str">
        <f>SUBSTITUTE(SUBSTITUTE(IF(H305=1,VLOOKUP(COUNTIF($H$2:H305,H305),Specyfikacja!$A$5:$D$99,4,0),IF(H305=2,VLOOKUP(COUNTIF($H$2:H305,H305),Specyfikacja!$A$5:$K$99,11,0),"")),"Tak","YES"),"Nie","NO")</f>
        <v/>
      </c>
    </row>
    <row r="306" spans="1:21" s="7" customFormat="1" ht="12">
      <c r="A306" s="13"/>
      <c r="B306" s="13"/>
      <c r="C306" s="13"/>
      <c r="D306" s="13"/>
      <c r="E306" s="13"/>
      <c r="F306" s="13"/>
      <c r="G306" s="13"/>
      <c r="H306" s="24" t="str">
        <f>IFERROR(IF(COUNTIFS($H$1:H305,H305)&gt;=VLOOKUP(H305,$A$2:$D$309,4,0),IF(H305=MAX($A$2:$A$317),"",Lista!H305+1),H305),"")</f>
        <v/>
      </c>
      <c r="I306" s="22" t="str">
        <f t="shared" si="91"/>
        <v/>
      </c>
      <c r="J306" s="24" t="str">
        <f t="shared" si="92"/>
        <v/>
      </c>
      <c r="K306" s="25" t="str">
        <f t="shared" si="97"/>
        <v/>
      </c>
      <c r="L306" s="26" t="str">
        <f t="shared" si="98"/>
        <v/>
      </c>
      <c r="M306" s="26" t="str">
        <f t="shared" si="93"/>
        <v/>
      </c>
      <c r="N306" s="26" t="str">
        <f t="shared" si="94"/>
        <v/>
      </c>
      <c r="O306" s="26" t="str">
        <f t="shared" si="95"/>
        <v/>
      </c>
      <c r="P306" s="25" t="str">
        <f t="shared" si="96"/>
        <v/>
      </c>
      <c r="Q306" s="27" t="str">
        <f t="shared" si="99"/>
        <v/>
      </c>
      <c r="R306" s="26" t="str">
        <f t="shared" si="100"/>
        <v/>
      </c>
      <c r="S306" s="23" t="str">
        <f>IF(H306=1,VLOOKUP(COUNTIF($H$2:H306,H306),Specyfikacja!$A$5:$D$99,2,0),IF(H306=2,VLOOKUP(COUNTIF($H$2:H306,H306),Specyfikacja!$A$5:$K$99,9,0),""))</f>
        <v/>
      </c>
      <c r="T306" s="23" t="str">
        <f>IF(H306=1,VLOOKUP(COUNTIF($H$2:H306,H306),Specyfikacja!$A$5:$D$99,3,0),IF(H306=2,VLOOKUP(COUNTIF($H$2:H306,H306),Specyfikacja!$A$5:$K$99,10,0),""))</f>
        <v/>
      </c>
      <c r="U306" s="23" t="str">
        <f>SUBSTITUTE(SUBSTITUTE(IF(H306=1,VLOOKUP(COUNTIF($H$2:H306,H306),Specyfikacja!$A$5:$D$99,4,0),IF(H306=2,VLOOKUP(COUNTIF($H$2:H306,H306),Specyfikacja!$A$5:$K$99,11,0),"")),"Tak","YES"),"Nie","NO")</f>
        <v/>
      </c>
    </row>
    <row r="307" spans="1:21" s="7" customFormat="1" ht="12">
      <c r="A307" s="13"/>
      <c r="B307" s="13"/>
      <c r="C307" s="13"/>
      <c r="D307" s="13"/>
      <c r="E307" s="13"/>
      <c r="F307" s="13"/>
      <c r="G307" s="13"/>
      <c r="H307" s="24" t="str">
        <f>IFERROR(IF(COUNTIFS($H$1:H306,H306)&gt;=VLOOKUP(H306,$A$2:$D$309,4,0),IF(H306=MAX($A$2:$A$317),"",Lista!H306+1),H306),"")</f>
        <v/>
      </c>
      <c r="I307" s="22" t="str">
        <f t="shared" si="91"/>
        <v/>
      </c>
      <c r="J307" s="24" t="str">
        <f t="shared" si="92"/>
        <v/>
      </c>
      <c r="K307" s="25" t="str">
        <f t="shared" si="97"/>
        <v/>
      </c>
      <c r="L307" s="26" t="str">
        <f t="shared" si="98"/>
        <v/>
      </c>
      <c r="M307" s="26" t="str">
        <f t="shared" si="93"/>
        <v/>
      </c>
      <c r="N307" s="26" t="str">
        <f t="shared" si="94"/>
        <v/>
      </c>
      <c r="O307" s="26" t="str">
        <f t="shared" si="95"/>
        <v/>
      </c>
      <c r="P307" s="25" t="str">
        <f t="shared" si="96"/>
        <v/>
      </c>
      <c r="Q307" s="27" t="str">
        <f t="shared" si="99"/>
        <v/>
      </c>
      <c r="R307" s="26" t="str">
        <f t="shared" si="100"/>
        <v/>
      </c>
      <c r="S307" s="23" t="str">
        <f>IF(H307=1,VLOOKUP(COUNTIF($H$2:H307,H307),Specyfikacja!$A$5:$D$99,2,0),IF(H307=2,VLOOKUP(COUNTIF($H$2:H307,H307),Specyfikacja!$A$5:$K$99,9,0),""))</f>
        <v/>
      </c>
      <c r="T307" s="23" t="str">
        <f>IF(H307=1,VLOOKUP(COUNTIF($H$2:H307,H307),Specyfikacja!$A$5:$D$99,3,0),IF(H307=2,VLOOKUP(COUNTIF($H$2:H307,H307),Specyfikacja!$A$5:$K$99,10,0),""))</f>
        <v/>
      </c>
      <c r="U307" s="23" t="str">
        <f>SUBSTITUTE(SUBSTITUTE(IF(H307=1,VLOOKUP(COUNTIF($H$2:H307,H307),Specyfikacja!$A$5:$D$99,4,0),IF(H307=2,VLOOKUP(COUNTIF($H$2:H307,H307),Specyfikacja!$A$5:$K$99,11,0),"")),"Tak","YES"),"Nie","NO")</f>
        <v/>
      </c>
    </row>
    <row r="308" spans="1:21" s="7" customFormat="1" ht="12">
      <c r="A308" s="13"/>
      <c r="B308" s="13"/>
      <c r="C308" s="13"/>
      <c r="D308" s="13"/>
      <c r="E308" s="13"/>
      <c r="F308" s="13"/>
      <c r="G308" s="13"/>
      <c r="H308" s="24" t="str">
        <f>IFERROR(IF(COUNTIFS($H$1:H307,H307)&gt;=VLOOKUP(H307,$A$2:$D$309,4,0),IF(H307=MAX($A$2:$A$317),"",Lista!H307+1),H307),"")</f>
        <v/>
      </c>
      <c r="I308" s="22" t="str">
        <f t="shared" si="91"/>
        <v/>
      </c>
      <c r="J308" s="24" t="str">
        <f t="shared" si="92"/>
        <v/>
      </c>
      <c r="K308" s="25" t="str">
        <f t="shared" si="97"/>
        <v/>
      </c>
      <c r="L308" s="26" t="str">
        <f t="shared" si="98"/>
        <v/>
      </c>
      <c r="M308" s="26" t="str">
        <f t="shared" si="93"/>
        <v/>
      </c>
      <c r="N308" s="26" t="str">
        <f t="shared" si="94"/>
        <v/>
      </c>
      <c r="O308" s="26" t="str">
        <f t="shared" si="95"/>
        <v/>
      </c>
      <c r="P308" s="25" t="str">
        <f t="shared" si="96"/>
        <v/>
      </c>
      <c r="Q308" s="27" t="str">
        <f t="shared" si="99"/>
        <v/>
      </c>
      <c r="R308" s="26" t="str">
        <f t="shared" si="100"/>
        <v/>
      </c>
      <c r="S308" s="23" t="str">
        <f>IF(H308=1,VLOOKUP(COUNTIF($H$2:H308,H308),Specyfikacja!$A$5:$D$99,2,0),IF(H308=2,VLOOKUP(COUNTIF($H$2:H308,H308),Specyfikacja!$A$5:$K$99,9,0),""))</f>
        <v/>
      </c>
      <c r="T308" s="23" t="str">
        <f>IF(H308=1,VLOOKUP(COUNTIF($H$2:H308,H308),Specyfikacja!$A$5:$D$99,3,0),IF(H308=2,VLOOKUP(COUNTIF($H$2:H308,H308),Specyfikacja!$A$5:$K$99,10,0),""))</f>
        <v/>
      </c>
      <c r="U308" s="23" t="str">
        <f>SUBSTITUTE(SUBSTITUTE(IF(H308=1,VLOOKUP(COUNTIF($H$2:H308,H308),Specyfikacja!$A$5:$D$99,4,0),IF(H308=2,VLOOKUP(COUNTIF($H$2:H308,H308),Specyfikacja!$A$5:$K$99,11,0),"")),"Tak","YES"),"Nie","NO")</f>
        <v/>
      </c>
    </row>
    <row r="309" spans="1:21" s="7" customFormat="1" ht="12">
      <c r="A309" s="13"/>
      <c r="B309" s="13"/>
      <c r="C309" s="13"/>
      <c r="D309" s="13"/>
      <c r="E309" s="13"/>
      <c r="F309" s="13"/>
      <c r="G309" s="13"/>
      <c r="H309" s="24" t="str">
        <f>IFERROR(IF(COUNTIFS($H$1:H308,H308)&gt;=VLOOKUP(H308,$A$2:$D$309,4,0),IF(H308=MAX($A$2:$A$317),"",Lista!H308+1),H308),"")</f>
        <v/>
      </c>
      <c r="I309" s="22" t="str">
        <f t="shared" si="91"/>
        <v/>
      </c>
      <c r="J309" s="24" t="str">
        <f t="shared" si="92"/>
        <v/>
      </c>
      <c r="K309" s="25" t="str">
        <f t="shared" si="97"/>
        <v/>
      </c>
      <c r="L309" s="26" t="str">
        <f t="shared" si="98"/>
        <v/>
      </c>
      <c r="M309" s="26" t="str">
        <f t="shared" si="93"/>
        <v/>
      </c>
      <c r="N309" s="26" t="str">
        <f t="shared" si="94"/>
        <v/>
      </c>
      <c r="O309" s="26" t="str">
        <f t="shared" si="95"/>
        <v/>
      </c>
      <c r="P309" s="25" t="str">
        <f t="shared" si="96"/>
        <v/>
      </c>
      <c r="Q309" s="27" t="str">
        <f t="shared" si="99"/>
        <v/>
      </c>
      <c r="R309" s="26" t="str">
        <f t="shared" si="100"/>
        <v/>
      </c>
      <c r="S309" s="23" t="str">
        <f>IF(H309=1,VLOOKUP(COUNTIF($H$2:H309,H309),Specyfikacja!$A$5:$D$99,2,0),IF(H309=2,VLOOKUP(COUNTIF($H$2:H309,H309),Specyfikacja!$A$5:$K$99,9,0),""))</f>
        <v/>
      </c>
      <c r="T309" s="23" t="str">
        <f>IF(H309=1,VLOOKUP(COUNTIF($H$2:H309,H309),Specyfikacja!$A$5:$D$99,3,0),IF(H309=2,VLOOKUP(COUNTIF($H$2:H309,H309),Specyfikacja!$A$5:$K$99,10,0),""))</f>
        <v/>
      </c>
      <c r="U309" s="23" t="str">
        <f>SUBSTITUTE(SUBSTITUTE(IF(H309=1,VLOOKUP(COUNTIF($H$2:H309,H309),Specyfikacja!$A$5:$D$99,4,0),IF(H309=2,VLOOKUP(COUNTIF($H$2:H309,H309),Specyfikacja!$A$5:$K$99,11,0),"")),"Tak","YES"),"Nie","NO")</f>
        <v/>
      </c>
    </row>
    <row r="310" spans="1:21" s="7" customFormat="1" ht="12">
      <c r="A310" s="13"/>
      <c r="B310" s="13"/>
      <c r="C310" s="13"/>
      <c r="D310" s="13"/>
      <c r="E310" s="13"/>
      <c r="F310" s="13"/>
      <c r="G310" s="13"/>
      <c r="H310" s="24" t="str">
        <f>IFERROR(IF(COUNTIFS($H$1:H309,H309)&gt;=VLOOKUP(H309,$A$2:$D$309,4,0),IF(H309=MAX($A$2:$A$317),"",Lista!H309+1),H309),"")</f>
        <v/>
      </c>
      <c r="I310" s="22" t="str">
        <f t="shared" si="91"/>
        <v/>
      </c>
      <c r="J310" s="24" t="str">
        <f t="shared" si="92"/>
        <v/>
      </c>
      <c r="K310" s="25" t="str">
        <f t="shared" si="97"/>
        <v/>
      </c>
      <c r="L310" s="26" t="str">
        <f t="shared" si="98"/>
        <v/>
      </c>
      <c r="M310" s="26" t="str">
        <f t="shared" si="93"/>
        <v/>
      </c>
      <c r="N310" s="26" t="str">
        <f t="shared" si="94"/>
        <v/>
      </c>
      <c r="O310" s="26" t="str">
        <f t="shared" si="95"/>
        <v/>
      </c>
      <c r="P310" s="25" t="str">
        <f t="shared" si="96"/>
        <v/>
      </c>
      <c r="Q310" s="27" t="str">
        <f t="shared" si="99"/>
        <v/>
      </c>
      <c r="R310" s="26" t="str">
        <f t="shared" si="100"/>
        <v/>
      </c>
      <c r="S310" s="23" t="str">
        <f>IF(H310=1,VLOOKUP(COUNTIF($H$2:H310,H310),Specyfikacja!$A$5:$D$99,2,0),IF(H310=2,VLOOKUP(COUNTIF($H$2:H310,H310),Specyfikacja!$A$5:$K$99,9,0),""))</f>
        <v/>
      </c>
      <c r="T310" s="23" t="str">
        <f>IF(H310=1,VLOOKUP(COUNTIF($H$2:H310,H310),Specyfikacja!$A$5:$D$99,3,0),IF(H310=2,VLOOKUP(COUNTIF($H$2:H310,H310),Specyfikacja!$A$5:$K$99,10,0),""))</f>
        <v/>
      </c>
      <c r="U310" s="23" t="str">
        <f>SUBSTITUTE(SUBSTITUTE(IF(H310=1,VLOOKUP(COUNTIF($H$2:H310,H310),Specyfikacja!$A$5:$D$99,4,0),IF(H310=2,VLOOKUP(COUNTIF($H$2:H310,H310),Specyfikacja!$A$5:$K$99,11,0),"")),"Tak","YES"),"Nie","NO")</f>
        <v/>
      </c>
    </row>
    <row r="311" spans="1:21" s="7" customFormat="1" ht="12">
      <c r="A311" s="13"/>
      <c r="B311" s="13"/>
      <c r="C311" s="13"/>
      <c r="D311" s="13"/>
      <c r="E311" s="13"/>
      <c r="F311" s="13"/>
      <c r="G311" s="13"/>
      <c r="H311" s="24" t="str">
        <f>IFERROR(IF(COUNTIFS($H$1:H310,H310)&gt;=VLOOKUP(H310,$A$2:$D$309,4,0),IF(H310=MAX($A$2:$A$317),"",Lista!H310+1),H310),"")</f>
        <v/>
      </c>
      <c r="I311" s="22" t="str">
        <f t="shared" si="91"/>
        <v/>
      </c>
      <c r="J311" s="24" t="str">
        <f t="shared" si="92"/>
        <v/>
      </c>
      <c r="K311" s="25" t="str">
        <f t="shared" si="97"/>
        <v/>
      </c>
      <c r="L311" s="26" t="str">
        <f t="shared" si="98"/>
        <v/>
      </c>
      <c r="M311" s="26" t="str">
        <f t="shared" si="93"/>
        <v/>
      </c>
      <c r="N311" s="26" t="str">
        <f t="shared" si="94"/>
        <v/>
      </c>
      <c r="O311" s="26" t="str">
        <f t="shared" si="95"/>
        <v/>
      </c>
      <c r="P311" s="25" t="str">
        <f t="shared" si="96"/>
        <v/>
      </c>
      <c r="Q311" s="27" t="str">
        <f t="shared" si="99"/>
        <v/>
      </c>
      <c r="R311" s="26" t="str">
        <f t="shared" si="100"/>
        <v/>
      </c>
      <c r="S311" s="23" t="str">
        <f>IF(H311=1,VLOOKUP(COUNTIF($H$2:H311,H311),Specyfikacja!$A$5:$D$99,2,0),IF(H311=2,VLOOKUP(COUNTIF($H$2:H311,H311),Specyfikacja!$A$5:$K$99,9,0),""))</f>
        <v/>
      </c>
      <c r="T311" s="23" t="str">
        <f>IF(H311=1,VLOOKUP(COUNTIF($H$2:H311,H311),Specyfikacja!$A$5:$D$99,3,0),IF(H311=2,VLOOKUP(COUNTIF($H$2:H311,H311),Specyfikacja!$A$5:$K$99,10,0),""))</f>
        <v/>
      </c>
      <c r="U311" s="23" t="str">
        <f>SUBSTITUTE(SUBSTITUTE(IF(H311=1,VLOOKUP(COUNTIF($H$2:H311,H311),Specyfikacja!$A$5:$D$99,4,0),IF(H311=2,VLOOKUP(COUNTIF($H$2:H311,H311),Specyfikacja!$A$5:$K$99,11,0),"")),"Tak","YES"),"Nie","NO")</f>
        <v/>
      </c>
    </row>
    <row r="312" spans="1:21" s="7" customFormat="1" ht="12">
      <c r="A312" s="13"/>
      <c r="B312" s="13"/>
      <c r="C312" s="13"/>
      <c r="D312" s="13"/>
      <c r="E312" s="13"/>
      <c r="F312" s="13"/>
      <c r="G312" s="13"/>
      <c r="H312" s="24" t="str">
        <f>IFERROR(IF(COUNTIFS($H$1:H311,H311)&gt;=VLOOKUP(H311,$A$2:$D$309,4,0),IF(H311=MAX($A$2:$A$317),"",Lista!H311+1),H311),"")</f>
        <v/>
      </c>
      <c r="I312" s="22" t="str">
        <f t="shared" si="91"/>
        <v/>
      </c>
      <c r="J312" s="24" t="str">
        <f t="shared" si="92"/>
        <v/>
      </c>
      <c r="K312" s="25" t="str">
        <f t="shared" si="97"/>
        <v/>
      </c>
      <c r="L312" s="26" t="str">
        <f t="shared" si="98"/>
        <v/>
      </c>
      <c r="M312" s="26" t="str">
        <f t="shared" si="93"/>
        <v/>
      </c>
      <c r="N312" s="26" t="str">
        <f t="shared" si="94"/>
        <v/>
      </c>
      <c r="O312" s="26" t="str">
        <f t="shared" si="95"/>
        <v/>
      </c>
      <c r="P312" s="25" t="str">
        <f t="shared" si="96"/>
        <v/>
      </c>
      <c r="Q312" s="27" t="str">
        <f t="shared" si="99"/>
        <v/>
      </c>
      <c r="R312" s="26" t="str">
        <f t="shared" si="100"/>
        <v/>
      </c>
      <c r="S312" s="23" t="str">
        <f>IF(H312=1,VLOOKUP(COUNTIF($H$2:H312,H312),Specyfikacja!$A$5:$D$99,2,0),IF(H312=2,VLOOKUP(COUNTIF($H$2:H312,H312),Specyfikacja!$A$5:$K$99,9,0),""))</f>
        <v/>
      </c>
      <c r="T312" s="23" t="str">
        <f>IF(H312=1,VLOOKUP(COUNTIF($H$2:H312,H312),Specyfikacja!$A$5:$D$99,3,0),IF(H312=2,VLOOKUP(COUNTIF($H$2:H312,H312),Specyfikacja!$A$5:$K$99,10,0),""))</f>
        <v/>
      </c>
      <c r="U312" s="23" t="str">
        <f>SUBSTITUTE(SUBSTITUTE(IF(H312=1,VLOOKUP(COUNTIF($H$2:H312,H312),Specyfikacja!$A$5:$D$99,4,0),IF(H312=2,VLOOKUP(COUNTIF($H$2:H312,H312),Specyfikacja!$A$5:$K$99,11,0),"")),"Tak","YES"),"Nie","NO")</f>
        <v/>
      </c>
    </row>
    <row r="313" spans="1:21" s="7" customFormat="1" ht="12">
      <c r="A313" s="13"/>
      <c r="B313" s="13"/>
      <c r="C313" s="13"/>
      <c r="D313" s="13"/>
      <c r="E313" s="13"/>
      <c r="F313" s="13"/>
      <c r="G313" s="13"/>
      <c r="H313" s="24" t="str">
        <f>IFERROR(IF(COUNTIFS($H$1:H312,H312)&gt;=VLOOKUP(H312,$A$2:$D$309,4,0),IF(H312=MAX($A$2:$A$317),"",Lista!H312+1),H312),"")</f>
        <v/>
      </c>
      <c r="I313" s="22" t="str">
        <f t="shared" si="91"/>
        <v/>
      </c>
      <c r="J313" s="24" t="str">
        <f t="shared" si="92"/>
        <v/>
      </c>
      <c r="K313" s="25" t="str">
        <f t="shared" si="97"/>
        <v/>
      </c>
      <c r="L313" s="26" t="str">
        <f t="shared" si="98"/>
        <v/>
      </c>
      <c r="M313" s="26" t="str">
        <f t="shared" si="93"/>
        <v/>
      </c>
      <c r="N313" s="26" t="str">
        <f t="shared" si="94"/>
        <v/>
      </c>
      <c r="O313" s="26" t="str">
        <f t="shared" si="95"/>
        <v/>
      </c>
      <c r="P313" s="25" t="str">
        <f t="shared" si="96"/>
        <v/>
      </c>
      <c r="Q313" s="27" t="str">
        <f t="shared" si="99"/>
        <v/>
      </c>
      <c r="R313" s="26" t="str">
        <f t="shared" si="100"/>
        <v/>
      </c>
      <c r="S313" s="23" t="str">
        <f>IF(H313=1,VLOOKUP(COUNTIF($H$2:H313,H313),Specyfikacja!$A$5:$D$99,2,0),IF(H313=2,VLOOKUP(COUNTIF($H$2:H313,H313),Specyfikacja!$A$5:$K$99,9,0),""))</f>
        <v/>
      </c>
      <c r="T313" s="23" t="str">
        <f>IF(H313=1,VLOOKUP(COUNTIF($H$2:H313,H313),Specyfikacja!$A$5:$D$99,3,0),IF(H313=2,VLOOKUP(COUNTIF($H$2:H313,H313),Specyfikacja!$A$5:$K$99,10,0),""))</f>
        <v/>
      </c>
      <c r="U313" s="23" t="str">
        <f>SUBSTITUTE(SUBSTITUTE(IF(H313=1,VLOOKUP(COUNTIF($H$2:H313,H313),Specyfikacja!$A$5:$D$99,4,0),IF(H313=2,VLOOKUP(COUNTIF($H$2:H313,H313),Specyfikacja!$A$5:$K$99,11,0),"")),"Tak","YES"),"Nie","NO")</f>
        <v/>
      </c>
    </row>
    <row r="314" spans="1:21" s="7" customFormat="1" ht="12">
      <c r="A314" s="13"/>
      <c r="B314" s="13"/>
      <c r="C314" s="13"/>
      <c r="D314" s="13"/>
      <c r="E314" s="13"/>
      <c r="F314" s="13"/>
      <c r="G314" s="13"/>
      <c r="H314" s="24" t="str">
        <f>IFERROR(IF(COUNTIFS($H$1:H313,H313)&gt;=VLOOKUP(H313,$A$2:$D$309,4,0),IF(H313=MAX($A$2:$A$317),"",Lista!H313+1),H313),"")</f>
        <v/>
      </c>
      <c r="I314" s="22" t="str">
        <f t="shared" si="91"/>
        <v/>
      </c>
      <c r="J314" s="24" t="str">
        <f t="shared" si="92"/>
        <v/>
      </c>
      <c r="K314" s="25" t="str">
        <f t="shared" si="97"/>
        <v/>
      </c>
      <c r="L314" s="26" t="str">
        <f t="shared" si="98"/>
        <v/>
      </c>
      <c r="M314" s="26" t="str">
        <f t="shared" si="93"/>
        <v/>
      </c>
      <c r="N314" s="26" t="str">
        <f t="shared" si="94"/>
        <v/>
      </c>
      <c r="O314" s="26" t="str">
        <f t="shared" si="95"/>
        <v/>
      </c>
      <c r="P314" s="25" t="str">
        <f t="shared" si="96"/>
        <v/>
      </c>
      <c r="Q314" s="27" t="str">
        <f t="shared" si="99"/>
        <v/>
      </c>
      <c r="R314" s="26" t="str">
        <f t="shared" si="100"/>
        <v/>
      </c>
      <c r="S314" s="23" t="str">
        <f>IF(H314=1,VLOOKUP(COUNTIF($H$2:H314,H314),Specyfikacja!$A$5:$D$99,2,0),IF(H314=2,VLOOKUP(COUNTIF($H$2:H314,H314),Specyfikacja!$A$5:$K$99,9,0),""))</f>
        <v/>
      </c>
      <c r="T314" s="23" t="str">
        <f>IF(H314=1,VLOOKUP(COUNTIF($H$2:H314,H314),Specyfikacja!$A$5:$D$99,3,0),IF(H314=2,VLOOKUP(COUNTIF($H$2:H314,H314),Specyfikacja!$A$5:$K$99,10,0),""))</f>
        <v/>
      </c>
      <c r="U314" s="23" t="str">
        <f>SUBSTITUTE(SUBSTITUTE(IF(H314=1,VLOOKUP(COUNTIF($H$2:H314,H314),Specyfikacja!$A$5:$D$99,4,0),IF(H314=2,VLOOKUP(COUNTIF($H$2:H314,H314),Specyfikacja!$A$5:$K$99,11,0),"")),"Tak","YES"),"Nie","NO")</f>
        <v/>
      </c>
    </row>
    <row r="315" spans="1:21" s="7" customFormat="1" ht="12">
      <c r="A315" s="13"/>
      <c r="B315" s="13"/>
      <c r="C315" s="13"/>
      <c r="D315" s="13"/>
      <c r="E315" s="13"/>
      <c r="F315" s="13"/>
      <c r="G315" s="13"/>
      <c r="H315" s="24" t="str">
        <f>IFERROR(IF(COUNTIFS($H$1:H314,H314)&gt;=VLOOKUP(H314,$A$2:$D$309,4,0),IF(H314=MAX($A$2:$A$317),"",Lista!H314+1),H314),"")</f>
        <v/>
      </c>
      <c r="I315" s="22" t="str">
        <f t="shared" si="91"/>
        <v/>
      </c>
      <c r="J315" s="24" t="str">
        <f t="shared" si="92"/>
        <v/>
      </c>
      <c r="K315" s="25" t="str">
        <f t="shared" si="97"/>
        <v/>
      </c>
      <c r="L315" s="26" t="str">
        <f t="shared" si="98"/>
        <v/>
      </c>
      <c r="M315" s="26" t="str">
        <f t="shared" si="93"/>
        <v/>
      </c>
      <c r="N315" s="26" t="str">
        <f t="shared" si="94"/>
        <v/>
      </c>
      <c r="O315" s="26" t="str">
        <f t="shared" si="95"/>
        <v/>
      </c>
      <c r="P315" s="25" t="str">
        <f t="shared" si="96"/>
        <v/>
      </c>
      <c r="Q315" s="27" t="str">
        <f t="shared" si="99"/>
        <v/>
      </c>
      <c r="R315" s="26" t="str">
        <f t="shared" si="100"/>
        <v/>
      </c>
      <c r="S315" s="23" t="str">
        <f>IF(H315=1,VLOOKUP(COUNTIF($H$2:H315,H315),Specyfikacja!$A$5:$D$99,2,0),IF(H315=2,VLOOKUP(COUNTIF($H$2:H315,H315),Specyfikacja!$A$5:$K$99,9,0),""))</f>
        <v/>
      </c>
      <c r="T315" s="23" t="str">
        <f>IF(H315=1,VLOOKUP(COUNTIF($H$2:H315,H315),Specyfikacja!$A$5:$D$99,3,0),IF(H315=2,VLOOKUP(COUNTIF($H$2:H315,H315),Specyfikacja!$A$5:$K$99,10,0),""))</f>
        <v/>
      </c>
      <c r="U315" s="23" t="str">
        <f>SUBSTITUTE(SUBSTITUTE(IF(H315=1,VLOOKUP(COUNTIF($H$2:H315,H315),Specyfikacja!$A$5:$D$99,4,0),IF(H315=2,VLOOKUP(COUNTIF($H$2:H315,H315),Specyfikacja!$A$5:$K$99,11,0),"")),"Tak","YES"),"Nie","NO")</f>
        <v/>
      </c>
    </row>
    <row r="316" spans="1:21" s="7" customFormat="1" ht="12">
      <c r="A316" s="13"/>
      <c r="B316" s="13"/>
      <c r="C316" s="13"/>
      <c r="D316" s="13"/>
      <c r="E316" s="13"/>
      <c r="F316" s="13"/>
      <c r="G316" s="13"/>
      <c r="H316" s="24" t="str">
        <f>IFERROR(IF(COUNTIFS($H$1:H315,H315)&gt;=VLOOKUP(H315,$A$2:$D$309,4,0),IF(H315=MAX($A$2:$A$317),"",Lista!H315+1),H315),"")</f>
        <v/>
      </c>
      <c r="I316" s="22" t="str">
        <f t="shared" si="91"/>
        <v/>
      </c>
      <c r="J316" s="24" t="str">
        <f t="shared" si="92"/>
        <v/>
      </c>
      <c r="K316" s="25" t="str">
        <f t="shared" si="97"/>
        <v/>
      </c>
      <c r="L316" s="26" t="str">
        <f t="shared" si="98"/>
        <v/>
      </c>
      <c r="M316" s="26" t="str">
        <f t="shared" si="93"/>
        <v/>
      </c>
      <c r="N316" s="26" t="str">
        <f t="shared" si="94"/>
        <v/>
      </c>
      <c r="O316" s="26" t="str">
        <f t="shared" si="95"/>
        <v/>
      </c>
      <c r="P316" s="25" t="str">
        <f t="shared" si="96"/>
        <v/>
      </c>
      <c r="Q316" s="27" t="str">
        <f t="shared" si="99"/>
        <v/>
      </c>
      <c r="R316" s="26" t="str">
        <f t="shared" si="100"/>
        <v/>
      </c>
      <c r="S316" s="23" t="str">
        <f>IF(H316=1,VLOOKUP(COUNTIF($H$2:H316,H316),Specyfikacja!$A$5:$D$99,2,0),IF(H316=2,VLOOKUP(COUNTIF($H$2:H316,H316),Specyfikacja!$A$5:$K$99,9,0),""))</f>
        <v/>
      </c>
      <c r="T316" s="23" t="str">
        <f>IF(H316=1,VLOOKUP(COUNTIF($H$2:H316,H316),Specyfikacja!$A$5:$D$99,3,0),IF(H316=2,VLOOKUP(COUNTIF($H$2:H316,H316),Specyfikacja!$A$5:$K$99,10,0),""))</f>
        <v/>
      </c>
      <c r="U316" s="23" t="str">
        <f>SUBSTITUTE(SUBSTITUTE(IF(H316=1,VLOOKUP(COUNTIF($H$2:H316,H316),Specyfikacja!$A$5:$D$99,4,0),IF(H316=2,VLOOKUP(COUNTIF($H$2:H316,H316),Specyfikacja!$A$5:$K$99,11,0),"")),"Tak","YES"),"Nie","NO")</f>
        <v/>
      </c>
    </row>
    <row r="317" spans="1:21" s="7" customFormat="1" ht="12">
      <c r="A317" s="13"/>
      <c r="B317" s="13"/>
      <c r="C317" s="13"/>
      <c r="D317" s="13"/>
      <c r="E317" s="13"/>
      <c r="F317" s="13"/>
      <c r="G317" s="13"/>
      <c r="H317" s="24" t="str">
        <f>IFERROR(IF(COUNTIFS($H$1:H316,H316)&gt;=VLOOKUP(H316,$A$2:$D$309,4,0),IF(H316=MAX($A$2:$A$317),"",Lista!H316+1),H316),"")</f>
        <v/>
      </c>
      <c r="I317" s="22" t="str">
        <f t="shared" si="91"/>
        <v/>
      </c>
      <c r="J317" s="24" t="str">
        <f t="shared" si="92"/>
        <v/>
      </c>
      <c r="K317" s="25" t="str">
        <f t="shared" si="97"/>
        <v/>
      </c>
      <c r="L317" s="26" t="str">
        <f t="shared" si="98"/>
        <v/>
      </c>
      <c r="M317" s="26" t="str">
        <f t="shared" si="93"/>
        <v/>
      </c>
      <c r="N317" s="26" t="str">
        <f t="shared" si="94"/>
        <v/>
      </c>
      <c r="O317" s="26" t="str">
        <f t="shared" si="95"/>
        <v/>
      </c>
      <c r="P317" s="25" t="str">
        <f t="shared" si="96"/>
        <v/>
      </c>
      <c r="Q317" s="27" t="str">
        <f t="shared" si="99"/>
        <v/>
      </c>
      <c r="R317" s="26" t="str">
        <f t="shared" si="100"/>
        <v/>
      </c>
      <c r="S317" s="23" t="str">
        <f>IF(H317=1,VLOOKUP(COUNTIF($H$2:H317,H317),Specyfikacja!$A$5:$D$99,2,0),IF(H317=2,VLOOKUP(COUNTIF($H$2:H317,H317),Specyfikacja!$A$5:$K$99,9,0),""))</f>
        <v/>
      </c>
      <c r="T317" s="23" t="str">
        <f>IF(H317=1,VLOOKUP(COUNTIF($H$2:H317,H317),Specyfikacja!$A$5:$D$99,3,0),IF(H317=2,VLOOKUP(COUNTIF($H$2:H317,H317),Specyfikacja!$A$5:$K$99,10,0),""))</f>
        <v/>
      </c>
      <c r="U317" s="23" t="str">
        <f>SUBSTITUTE(SUBSTITUTE(IF(H317=1,VLOOKUP(COUNTIF($H$2:H317,H317),Specyfikacja!$A$5:$D$99,4,0),IF(H317=2,VLOOKUP(COUNTIF($H$2:H317,H317),Specyfikacja!$A$5:$K$99,11,0),"")),"Tak","YES"),"Nie","NO")</f>
        <v/>
      </c>
    </row>
    <row r="318" spans="1:21" s="7" customFormat="1" ht="12">
      <c r="A318" s="13"/>
      <c r="B318" s="13"/>
      <c r="C318" s="13"/>
      <c r="D318" s="13"/>
      <c r="E318" s="13"/>
      <c r="F318" s="13"/>
      <c r="G318" s="13"/>
      <c r="H318" s="24" t="str">
        <f>IFERROR(IF(COUNTIFS($H$1:H317,H317)&gt;=VLOOKUP(H317,$A$2:$D$309,4,0),IF(H317=MAX($A$2:$A$317),"",Lista!H317+1),H317),"")</f>
        <v/>
      </c>
      <c r="I318" s="22" t="str">
        <f t="shared" si="91"/>
        <v/>
      </c>
      <c r="J318" s="24" t="str">
        <f t="shared" si="92"/>
        <v/>
      </c>
      <c r="K318" s="25" t="str">
        <f t="shared" si="97"/>
        <v/>
      </c>
      <c r="L318" s="26" t="str">
        <f t="shared" si="98"/>
        <v/>
      </c>
      <c r="M318" s="26" t="str">
        <f t="shared" si="93"/>
        <v/>
      </c>
      <c r="N318" s="26" t="str">
        <f t="shared" si="94"/>
        <v/>
      </c>
      <c r="O318" s="26" t="str">
        <f t="shared" si="95"/>
        <v/>
      </c>
      <c r="P318" s="25" t="str">
        <f t="shared" si="96"/>
        <v/>
      </c>
      <c r="Q318" s="27" t="str">
        <f t="shared" si="99"/>
        <v/>
      </c>
      <c r="R318" s="26" t="str">
        <f t="shared" si="100"/>
        <v/>
      </c>
      <c r="S318" s="23" t="str">
        <f>IF(H318=1,VLOOKUP(COUNTIF($H$2:H318,H318),Specyfikacja!$A$5:$D$99,2,0),IF(H318=2,VLOOKUP(COUNTIF($H$2:H318,H318),Specyfikacja!$A$5:$K$99,9,0),""))</f>
        <v/>
      </c>
      <c r="T318" s="23" t="str">
        <f>IF(H318=1,VLOOKUP(COUNTIF($H$2:H318,H318),Specyfikacja!$A$5:$D$99,3,0),IF(H318=2,VLOOKUP(COUNTIF($H$2:H318,H318),Specyfikacja!$A$5:$K$99,10,0),""))</f>
        <v/>
      </c>
      <c r="U318" s="23" t="str">
        <f>SUBSTITUTE(SUBSTITUTE(IF(H318=1,VLOOKUP(COUNTIF($H$2:H318,H318),Specyfikacja!$A$5:$D$99,4,0),IF(H318=2,VLOOKUP(COUNTIF($H$2:H318,H318),Specyfikacja!$A$5:$K$99,11,0),"")),"Tak","YES"),"Nie","NO")</f>
        <v/>
      </c>
    </row>
    <row r="319" spans="1:21" s="7" customFormat="1" ht="12">
      <c r="A319" s="13"/>
      <c r="B319" s="13"/>
      <c r="C319" s="13"/>
      <c r="D319" s="13"/>
      <c r="E319" s="13"/>
      <c r="F319" s="13"/>
      <c r="G319" s="13"/>
      <c r="H319" s="24" t="str">
        <f>IFERROR(IF(COUNTIFS($H$1:H318,H318)&gt;=VLOOKUP(H318,$A$2:$D$309,4,0),IF(H318=MAX($A$2:$A$317),"",Lista!H318+1),H318),"")</f>
        <v/>
      </c>
      <c r="I319" s="22" t="str">
        <f t="shared" si="91"/>
        <v/>
      </c>
      <c r="J319" s="24" t="str">
        <f t="shared" si="92"/>
        <v/>
      </c>
      <c r="K319" s="25" t="str">
        <f t="shared" si="97"/>
        <v/>
      </c>
      <c r="L319" s="26" t="str">
        <f t="shared" si="98"/>
        <v/>
      </c>
      <c r="M319" s="26" t="str">
        <f t="shared" si="93"/>
        <v/>
      </c>
      <c r="N319" s="26" t="str">
        <f t="shared" si="94"/>
        <v/>
      </c>
      <c r="O319" s="26" t="str">
        <f t="shared" si="95"/>
        <v/>
      </c>
      <c r="P319" s="25" t="str">
        <f t="shared" si="96"/>
        <v/>
      </c>
      <c r="Q319" s="27" t="str">
        <f t="shared" si="99"/>
        <v/>
      </c>
      <c r="R319" s="26" t="str">
        <f t="shared" si="100"/>
        <v/>
      </c>
      <c r="S319" s="23" t="str">
        <f>IF(H319=1,VLOOKUP(COUNTIF($H$2:H319,H319),Specyfikacja!$A$5:$D$99,2,0),IF(H319=2,VLOOKUP(COUNTIF($H$2:H319,H319),Specyfikacja!$A$5:$K$99,9,0),""))</f>
        <v/>
      </c>
      <c r="T319" s="23" t="str">
        <f>IF(H319=1,VLOOKUP(COUNTIF($H$2:H319,H319),Specyfikacja!$A$5:$D$99,3,0),IF(H319=2,VLOOKUP(COUNTIF($H$2:H319,H319),Specyfikacja!$A$5:$K$99,10,0),""))</f>
        <v/>
      </c>
      <c r="U319" s="23" t="str">
        <f>SUBSTITUTE(SUBSTITUTE(IF(H319=1,VLOOKUP(COUNTIF($H$2:H319,H319),Specyfikacja!$A$5:$D$99,4,0),IF(H319=2,VLOOKUP(COUNTIF($H$2:H319,H319),Specyfikacja!$A$5:$K$99,11,0),"")),"Tak","YES"),"Nie","NO")</f>
        <v/>
      </c>
    </row>
    <row r="320" spans="1:21" s="7" customFormat="1" ht="12">
      <c r="A320" s="13"/>
      <c r="B320" s="13"/>
      <c r="C320" s="13"/>
      <c r="D320" s="13"/>
      <c r="E320" s="13"/>
      <c r="F320" s="13"/>
      <c r="G320" s="13"/>
      <c r="H320" s="24" t="str">
        <f>IFERROR(IF(COUNTIFS($H$1:H319,H319)&gt;=VLOOKUP(H319,$A$2:$D$309,4,0),IF(H319=MAX($A$2:$A$317),"",Lista!H319+1),H319),"")</f>
        <v/>
      </c>
      <c r="I320" s="22" t="str">
        <f t="shared" si="91"/>
        <v/>
      </c>
      <c r="J320" s="24" t="str">
        <f t="shared" si="92"/>
        <v/>
      </c>
      <c r="K320" s="25" t="str">
        <f t="shared" si="97"/>
        <v/>
      </c>
      <c r="L320" s="26" t="str">
        <f t="shared" si="98"/>
        <v/>
      </c>
      <c r="M320" s="26" t="str">
        <f t="shared" si="93"/>
        <v/>
      </c>
      <c r="N320" s="26" t="str">
        <f t="shared" si="94"/>
        <v/>
      </c>
      <c r="O320" s="26" t="str">
        <f t="shared" si="95"/>
        <v/>
      </c>
      <c r="P320" s="25" t="str">
        <f t="shared" si="96"/>
        <v/>
      </c>
      <c r="Q320" s="27" t="str">
        <f t="shared" si="99"/>
        <v/>
      </c>
      <c r="R320" s="26" t="str">
        <f t="shared" si="100"/>
        <v/>
      </c>
      <c r="S320" s="23" t="str">
        <f>IF(H320=1,VLOOKUP(COUNTIF($H$2:H320,H320),Specyfikacja!$A$5:$D$99,2,0),IF(H320=2,VLOOKUP(COUNTIF($H$2:H320,H320),Specyfikacja!$A$5:$K$99,9,0),""))</f>
        <v/>
      </c>
      <c r="T320" s="23" t="str">
        <f>IF(H320=1,VLOOKUP(COUNTIF($H$2:H320,H320),Specyfikacja!$A$5:$D$99,3,0),IF(H320=2,VLOOKUP(COUNTIF($H$2:H320,H320),Specyfikacja!$A$5:$K$99,10,0),""))</f>
        <v/>
      </c>
      <c r="U320" s="23" t="str">
        <f>SUBSTITUTE(SUBSTITUTE(IF(H320=1,VLOOKUP(COUNTIF($H$2:H320,H320),Specyfikacja!$A$5:$D$99,4,0),IF(H320=2,VLOOKUP(COUNTIF($H$2:H320,H320),Specyfikacja!$A$5:$K$99,11,0),"")),"Tak","YES"),"Nie","NO")</f>
        <v/>
      </c>
    </row>
    <row r="321" spans="1:21" s="7" customFormat="1" ht="12">
      <c r="A321" s="13"/>
      <c r="B321" s="13"/>
      <c r="C321" s="13"/>
      <c r="D321" s="13"/>
      <c r="E321" s="13"/>
      <c r="F321" s="13"/>
      <c r="G321" s="13"/>
      <c r="H321" s="24" t="str">
        <f>IFERROR(IF(COUNTIFS($H$1:H320,H320)&gt;=VLOOKUP(H320,$A$2:$D$309,4,0),IF(H320=MAX($A$2:$A$317),"",Lista!H320+1),H320),"")</f>
        <v/>
      </c>
      <c r="I321" s="22" t="str">
        <f t="shared" si="91"/>
        <v/>
      </c>
      <c r="J321" s="24" t="str">
        <f t="shared" si="92"/>
        <v/>
      </c>
      <c r="K321" s="25" t="str">
        <f t="shared" si="97"/>
        <v/>
      </c>
      <c r="L321" s="26" t="str">
        <f t="shared" si="98"/>
        <v/>
      </c>
      <c r="M321" s="26" t="str">
        <f t="shared" si="93"/>
        <v/>
      </c>
      <c r="N321" s="26" t="str">
        <f t="shared" si="94"/>
        <v/>
      </c>
      <c r="O321" s="26" t="str">
        <f t="shared" si="95"/>
        <v/>
      </c>
      <c r="P321" s="25" t="str">
        <f t="shared" si="96"/>
        <v/>
      </c>
      <c r="Q321" s="27" t="str">
        <f t="shared" si="99"/>
        <v/>
      </c>
      <c r="R321" s="26" t="str">
        <f t="shared" si="100"/>
        <v/>
      </c>
      <c r="S321" s="23" t="str">
        <f>IF(H321=1,VLOOKUP(COUNTIF($H$2:H321,H321),Specyfikacja!$A$5:$D$99,2,0),IF(H321=2,VLOOKUP(COUNTIF($H$2:H321,H321),Specyfikacja!$A$5:$K$99,9,0),""))</f>
        <v/>
      </c>
      <c r="T321" s="23" t="str">
        <f>IF(H321=1,VLOOKUP(COUNTIF($H$2:H321,H321),Specyfikacja!$A$5:$D$99,3,0),IF(H321=2,VLOOKUP(COUNTIF($H$2:H321,H321),Specyfikacja!$A$5:$K$99,10,0),""))</f>
        <v/>
      </c>
      <c r="U321" s="23" t="str">
        <f>SUBSTITUTE(SUBSTITUTE(IF(H321=1,VLOOKUP(COUNTIF($H$2:H321,H321),Specyfikacja!$A$5:$D$99,4,0),IF(H321=2,VLOOKUP(COUNTIF($H$2:H321,H321),Specyfikacja!$A$5:$K$99,11,0),"")),"Tak","YES"),"Nie","NO")</f>
        <v/>
      </c>
    </row>
    <row r="322" spans="1:21" s="7" customFormat="1" ht="12">
      <c r="A322" s="13"/>
      <c r="B322" s="13"/>
      <c r="C322" s="13"/>
      <c r="D322" s="13"/>
      <c r="E322" s="13"/>
      <c r="F322" s="13"/>
      <c r="G322" s="13"/>
      <c r="H322" s="24" t="str">
        <f>IFERROR(IF(COUNTIFS($H$1:H321,H321)&gt;=VLOOKUP(H321,$A$2:$D$309,4,0),IF(H321=MAX($A$2:$A$317),"",Lista!H321+1),H321),"")</f>
        <v/>
      </c>
      <c r="I322" s="22" t="str">
        <f t="shared" si="91"/>
        <v/>
      </c>
      <c r="J322" s="24" t="str">
        <f t="shared" si="92"/>
        <v/>
      </c>
      <c r="K322" s="25" t="str">
        <f t="shared" si="97"/>
        <v/>
      </c>
      <c r="L322" s="26" t="str">
        <f t="shared" si="98"/>
        <v/>
      </c>
      <c r="M322" s="26" t="str">
        <f t="shared" si="93"/>
        <v/>
      </c>
      <c r="N322" s="26" t="str">
        <f t="shared" si="94"/>
        <v/>
      </c>
      <c r="O322" s="26" t="str">
        <f t="shared" si="95"/>
        <v/>
      </c>
      <c r="P322" s="25" t="str">
        <f t="shared" si="96"/>
        <v/>
      </c>
      <c r="Q322" s="27" t="str">
        <f t="shared" si="99"/>
        <v/>
      </c>
      <c r="R322" s="26" t="str">
        <f t="shared" si="100"/>
        <v/>
      </c>
      <c r="S322" s="23" t="str">
        <f>IF(H322=1,VLOOKUP(COUNTIF($H$2:H322,H322),Specyfikacja!$A$5:$D$99,2,0),IF(H322=2,VLOOKUP(COUNTIF($H$2:H322,H322),Specyfikacja!$A$5:$K$99,9,0),""))</f>
        <v/>
      </c>
      <c r="T322" s="23" t="str">
        <f>IF(H322=1,VLOOKUP(COUNTIF($H$2:H322,H322),Specyfikacja!$A$5:$D$99,3,0),IF(H322=2,VLOOKUP(COUNTIF($H$2:H322,H322),Specyfikacja!$A$5:$K$99,10,0),""))</f>
        <v/>
      </c>
      <c r="U322" s="23" t="str">
        <f>SUBSTITUTE(SUBSTITUTE(IF(H322=1,VLOOKUP(COUNTIF($H$2:H322,H322),Specyfikacja!$A$5:$D$99,4,0),IF(H322=2,VLOOKUP(COUNTIF($H$2:H322,H322),Specyfikacja!$A$5:$K$99,11,0),"")),"Tak","YES"),"Nie","NO")</f>
        <v/>
      </c>
    </row>
    <row r="323" spans="1:21" s="7" customFormat="1" ht="12">
      <c r="A323" s="13"/>
      <c r="B323" s="13"/>
      <c r="C323" s="13"/>
      <c r="D323" s="13"/>
      <c r="E323" s="13"/>
      <c r="F323" s="13"/>
      <c r="G323" s="13"/>
      <c r="H323" s="24" t="str">
        <f>IFERROR(IF(COUNTIFS($H$1:H322,H322)&gt;=VLOOKUP(H322,$A$2:$D$309,4,0),IF(H322=MAX($A$2:$A$317),"",Lista!H322+1),H322),"")</f>
        <v/>
      </c>
      <c r="I323" s="22" t="str">
        <f t="shared" ref="I323:I386" si="101">IFERROR(IF(H323=H322,"",VLOOKUP(H323,$A$2:$B$317,2,0)),"")</f>
        <v/>
      </c>
      <c r="J323" s="24" t="str">
        <f t="shared" ref="J323:J386" si="102">IFERROR(IF(H323=H322,"",VLOOKUP(H323,$A$2:$C$317,3,0)),"")</f>
        <v/>
      </c>
      <c r="K323" s="25" t="str">
        <f t="shared" si="97"/>
        <v/>
      </c>
      <c r="L323" s="26" t="str">
        <f t="shared" si="98"/>
        <v/>
      </c>
      <c r="M323" s="26" t="str">
        <f t="shared" si="93"/>
        <v/>
      </c>
      <c r="N323" s="26" t="str">
        <f t="shared" si="94"/>
        <v/>
      </c>
      <c r="O323" s="26" t="str">
        <f t="shared" si="95"/>
        <v/>
      </c>
      <c r="P323" s="25" t="str">
        <f t="shared" si="96"/>
        <v/>
      </c>
      <c r="Q323" s="27" t="str">
        <f t="shared" si="99"/>
        <v/>
      </c>
      <c r="R323" s="26" t="str">
        <f t="shared" si="100"/>
        <v/>
      </c>
      <c r="S323" s="23" t="str">
        <f>IF(H323=1,VLOOKUP(COUNTIF($H$2:H323,H323),Specyfikacja!$A$5:$D$99,2,0),IF(H323=2,VLOOKUP(COUNTIF($H$2:H323,H323),Specyfikacja!$A$5:$K$99,9,0),""))</f>
        <v/>
      </c>
      <c r="T323" s="23" t="str">
        <f>IF(H323=1,VLOOKUP(COUNTIF($H$2:H323,H323),Specyfikacja!$A$5:$D$99,3,0),IF(H323=2,VLOOKUP(COUNTIF($H$2:H323,H323),Specyfikacja!$A$5:$K$99,10,0),""))</f>
        <v/>
      </c>
      <c r="U323" s="23" t="str">
        <f>SUBSTITUTE(SUBSTITUTE(IF(H323=1,VLOOKUP(COUNTIF($H$2:H323,H323),Specyfikacja!$A$5:$D$99,4,0),IF(H323=2,VLOOKUP(COUNTIF($H$2:H323,H323),Specyfikacja!$A$5:$K$99,11,0),"")),"Tak","YES"),"Nie","NO")</f>
        <v/>
      </c>
    </row>
    <row r="324" spans="1:21" s="7" customFormat="1" ht="12">
      <c r="A324" s="13"/>
      <c r="B324" s="13"/>
      <c r="C324" s="13"/>
      <c r="D324" s="13"/>
      <c r="E324" s="13"/>
      <c r="F324" s="13"/>
      <c r="G324" s="13"/>
      <c r="H324" s="24" t="str">
        <f>IFERROR(IF(COUNTIFS($H$1:H323,H323)&gt;=VLOOKUP(H323,$A$2:$D$309,4,0),IF(H323=MAX($A$2:$A$317),"",Lista!H323+1),H323),"")</f>
        <v/>
      </c>
      <c r="I324" s="22" t="str">
        <f t="shared" si="101"/>
        <v/>
      </c>
      <c r="J324" s="24" t="str">
        <f t="shared" si="102"/>
        <v/>
      </c>
      <c r="K324" s="25" t="str">
        <f t="shared" si="97"/>
        <v/>
      </c>
      <c r="L324" s="26" t="str">
        <f t="shared" si="98"/>
        <v/>
      </c>
      <c r="M324" s="26" t="str">
        <f t="shared" si="93"/>
        <v/>
      </c>
      <c r="N324" s="26" t="str">
        <f t="shared" si="94"/>
        <v/>
      </c>
      <c r="O324" s="26" t="str">
        <f t="shared" si="95"/>
        <v/>
      </c>
      <c r="P324" s="25" t="str">
        <f t="shared" si="96"/>
        <v/>
      </c>
      <c r="Q324" s="27" t="str">
        <f t="shared" si="99"/>
        <v/>
      </c>
      <c r="R324" s="26" t="str">
        <f t="shared" si="100"/>
        <v/>
      </c>
      <c r="S324" s="23" t="str">
        <f>IF(H324=1,VLOOKUP(COUNTIF($H$2:H324,H324),Specyfikacja!$A$5:$D$99,2,0),IF(H324=2,VLOOKUP(COUNTIF($H$2:H324,H324),Specyfikacja!$A$5:$K$99,9,0),""))</f>
        <v/>
      </c>
      <c r="T324" s="23" t="str">
        <f>IF(H324=1,VLOOKUP(COUNTIF($H$2:H324,H324),Specyfikacja!$A$5:$D$99,3,0),IF(H324=2,VLOOKUP(COUNTIF($H$2:H324,H324),Specyfikacja!$A$5:$K$99,10,0),""))</f>
        <v/>
      </c>
      <c r="U324" s="23" t="str">
        <f>SUBSTITUTE(SUBSTITUTE(IF(H324=1,VLOOKUP(COUNTIF($H$2:H324,H324),Specyfikacja!$A$5:$D$99,4,0),IF(H324=2,VLOOKUP(COUNTIF($H$2:H324,H324),Specyfikacja!$A$5:$K$99,11,0),"")),"Tak","YES"),"Nie","NO")</f>
        <v/>
      </c>
    </row>
    <row r="325" spans="1:21" s="7" customFormat="1" ht="12">
      <c r="A325" s="13"/>
      <c r="B325" s="13"/>
      <c r="C325" s="13"/>
      <c r="D325" s="13"/>
      <c r="E325" s="13"/>
      <c r="F325" s="13"/>
      <c r="G325" s="13"/>
      <c r="H325" s="24" t="str">
        <f>IFERROR(IF(COUNTIFS($H$1:H324,H324)&gt;=VLOOKUP(H324,$A$2:$D$309,4,0),IF(H324=MAX($A$2:$A$317),"",Lista!H324+1),H324),"")</f>
        <v/>
      </c>
      <c r="I325" s="22" t="str">
        <f t="shared" si="101"/>
        <v/>
      </c>
      <c r="J325" s="24" t="str">
        <f t="shared" si="102"/>
        <v/>
      </c>
      <c r="K325" s="25" t="str">
        <f t="shared" si="97"/>
        <v/>
      </c>
      <c r="L325" s="26" t="str">
        <f t="shared" si="98"/>
        <v/>
      </c>
      <c r="M325" s="26" t="str">
        <f t="shared" ref="M325:M388" si="103">IF(H325=H324,"",IF(H325="","",$F$4))</f>
        <v/>
      </c>
      <c r="N325" s="26" t="str">
        <f t="shared" ref="N325:N388" si="104">IF(H325=H324,"",IF(H325="","",$F$5))</f>
        <v/>
      </c>
      <c r="O325" s="26" t="str">
        <f t="shared" ref="O325:O388" si="105">IF(H325=H324,"",IF(H325="","",$F$6))</f>
        <v/>
      </c>
      <c r="P325" s="25" t="str">
        <f t="shared" ref="P325:P388" si="106">IF(H325=H324,"",IF(H325="","",$F$7))</f>
        <v/>
      </c>
      <c r="Q325" s="27" t="str">
        <f t="shared" si="99"/>
        <v/>
      </c>
      <c r="R325" s="26" t="str">
        <f t="shared" si="100"/>
        <v/>
      </c>
      <c r="S325" s="23" t="str">
        <f>IF(H325=1,VLOOKUP(COUNTIF($H$2:H325,H325),Specyfikacja!$A$5:$D$99,2,0),IF(H325=2,VLOOKUP(COUNTIF($H$2:H325,H325),Specyfikacja!$A$5:$K$99,9,0),""))</f>
        <v/>
      </c>
      <c r="T325" s="23" t="str">
        <f>IF(H325=1,VLOOKUP(COUNTIF($H$2:H325,H325),Specyfikacja!$A$5:$D$99,3,0),IF(H325=2,VLOOKUP(COUNTIF($H$2:H325,H325),Specyfikacja!$A$5:$K$99,10,0),""))</f>
        <v/>
      </c>
      <c r="U325" s="23" t="str">
        <f>SUBSTITUTE(SUBSTITUTE(IF(H325=1,VLOOKUP(COUNTIF($H$2:H325,H325),Specyfikacja!$A$5:$D$99,4,0),IF(H325=2,VLOOKUP(COUNTIF($H$2:H325,H325),Specyfikacja!$A$5:$K$99,11,0),"")),"Tak","YES"),"Nie","NO")</f>
        <v/>
      </c>
    </row>
    <row r="326" spans="1:21" s="7" customFormat="1" ht="12">
      <c r="A326" s="13"/>
      <c r="B326" s="13"/>
      <c r="C326" s="13"/>
      <c r="D326" s="13"/>
      <c r="E326" s="13"/>
      <c r="F326" s="13"/>
      <c r="G326" s="13"/>
      <c r="H326" s="24" t="str">
        <f>IFERROR(IF(COUNTIFS($H$1:H325,H325)&gt;=VLOOKUP(H325,$A$2:$D$309,4,0),IF(H325=MAX($A$2:$A$317),"",Lista!H325+1),H325),"")</f>
        <v/>
      </c>
      <c r="I326" s="22" t="str">
        <f t="shared" si="101"/>
        <v/>
      </c>
      <c r="J326" s="24" t="str">
        <f t="shared" si="102"/>
        <v/>
      </c>
      <c r="K326" s="25" t="str">
        <f t="shared" si="97"/>
        <v/>
      </c>
      <c r="L326" s="26" t="str">
        <f t="shared" si="98"/>
        <v/>
      </c>
      <c r="M326" s="26" t="str">
        <f t="shared" si="103"/>
        <v/>
      </c>
      <c r="N326" s="26" t="str">
        <f t="shared" si="104"/>
        <v/>
      </c>
      <c r="O326" s="26" t="str">
        <f t="shared" si="105"/>
        <v/>
      </c>
      <c r="P326" s="25" t="str">
        <f t="shared" si="106"/>
        <v/>
      </c>
      <c r="Q326" s="27" t="str">
        <f t="shared" si="99"/>
        <v/>
      </c>
      <c r="R326" s="26" t="str">
        <f t="shared" si="100"/>
        <v/>
      </c>
      <c r="S326" s="23" t="str">
        <f>IF(H326=1,VLOOKUP(COUNTIF($H$2:H326,H326),Specyfikacja!$A$5:$D$99,2,0),IF(H326=2,VLOOKUP(COUNTIF($H$2:H326,H326),Specyfikacja!$A$5:$K$99,9,0),""))</f>
        <v/>
      </c>
      <c r="T326" s="23" t="str">
        <f>IF(H326=1,VLOOKUP(COUNTIF($H$2:H326,H326),Specyfikacja!$A$5:$D$99,3,0),IF(H326=2,VLOOKUP(COUNTIF($H$2:H326,H326),Specyfikacja!$A$5:$K$99,10,0),""))</f>
        <v/>
      </c>
      <c r="U326" s="23" t="str">
        <f>SUBSTITUTE(SUBSTITUTE(IF(H326=1,VLOOKUP(COUNTIF($H$2:H326,H326),Specyfikacja!$A$5:$D$99,4,0),IF(H326=2,VLOOKUP(COUNTIF($H$2:H326,H326),Specyfikacja!$A$5:$K$99,11,0),"")),"Tak","YES"),"Nie","NO")</f>
        <v/>
      </c>
    </row>
    <row r="327" spans="1:21" s="7" customFormat="1" ht="12">
      <c r="A327" s="13"/>
      <c r="B327" s="13"/>
      <c r="C327" s="13"/>
      <c r="D327" s="13"/>
      <c r="E327" s="13"/>
      <c r="F327" s="13"/>
      <c r="G327" s="13"/>
      <c r="H327" s="24" t="str">
        <f>IFERROR(IF(COUNTIFS($H$1:H326,H326)&gt;=VLOOKUP(H326,$A$2:$D$309,4,0),IF(H326=MAX($A$2:$A$317),"",Lista!H326+1),H326),"")</f>
        <v/>
      </c>
      <c r="I327" s="22" t="str">
        <f t="shared" si="101"/>
        <v/>
      </c>
      <c r="J327" s="24" t="str">
        <f t="shared" si="102"/>
        <v/>
      </c>
      <c r="K327" s="25" t="str">
        <f t="shared" si="97"/>
        <v/>
      </c>
      <c r="L327" s="26" t="str">
        <f t="shared" si="98"/>
        <v/>
      </c>
      <c r="M327" s="26" t="str">
        <f t="shared" si="103"/>
        <v/>
      </c>
      <c r="N327" s="26" t="str">
        <f t="shared" si="104"/>
        <v/>
      </c>
      <c r="O327" s="26" t="str">
        <f t="shared" si="105"/>
        <v/>
      </c>
      <c r="P327" s="25" t="str">
        <f t="shared" si="106"/>
        <v/>
      </c>
      <c r="Q327" s="27" t="str">
        <f t="shared" si="99"/>
        <v/>
      </c>
      <c r="R327" s="26" t="str">
        <f t="shared" si="100"/>
        <v/>
      </c>
      <c r="S327" s="23" t="str">
        <f>IF(H327=1,VLOOKUP(COUNTIF($H$2:H327,H327),Specyfikacja!$A$5:$D$99,2,0),IF(H327=2,VLOOKUP(COUNTIF($H$2:H327,H327),Specyfikacja!$A$5:$K$99,9,0),""))</f>
        <v/>
      </c>
      <c r="T327" s="23" t="str">
        <f>IF(H327=1,VLOOKUP(COUNTIF($H$2:H327,H327),Specyfikacja!$A$5:$D$99,3,0),IF(H327=2,VLOOKUP(COUNTIF($H$2:H327,H327),Specyfikacja!$A$5:$K$99,10,0),""))</f>
        <v/>
      </c>
      <c r="U327" s="23" t="str">
        <f>SUBSTITUTE(SUBSTITUTE(IF(H327=1,VLOOKUP(COUNTIF($H$2:H327,H327),Specyfikacja!$A$5:$D$99,4,0),IF(H327=2,VLOOKUP(COUNTIF($H$2:H327,H327),Specyfikacja!$A$5:$K$99,11,0),"")),"Tak","YES"),"Nie","NO")</f>
        <v/>
      </c>
    </row>
    <row r="328" spans="1:21" s="7" customFormat="1" ht="12">
      <c r="A328" s="13"/>
      <c r="B328" s="13"/>
      <c r="C328" s="13"/>
      <c r="D328" s="13"/>
      <c r="E328" s="13"/>
      <c r="F328" s="13"/>
      <c r="G328" s="13"/>
      <c r="H328" s="24" t="str">
        <f>IFERROR(IF(COUNTIFS($H$1:H327,H327)&gt;=VLOOKUP(H327,$A$2:$D$309,4,0),IF(H327=MAX($A$2:$A$317),"",Lista!H327+1),H327),"")</f>
        <v/>
      </c>
      <c r="I328" s="22" t="str">
        <f t="shared" si="101"/>
        <v/>
      </c>
      <c r="J328" s="24" t="str">
        <f t="shared" si="102"/>
        <v/>
      </c>
      <c r="K328" s="25" t="str">
        <f t="shared" si="97"/>
        <v/>
      </c>
      <c r="L328" s="26" t="str">
        <f t="shared" si="98"/>
        <v/>
      </c>
      <c r="M328" s="26" t="str">
        <f t="shared" si="103"/>
        <v/>
      </c>
      <c r="N328" s="26" t="str">
        <f t="shared" si="104"/>
        <v/>
      </c>
      <c r="O328" s="26" t="str">
        <f t="shared" si="105"/>
        <v/>
      </c>
      <c r="P328" s="25" t="str">
        <f t="shared" si="106"/>
        <v/>
      </c>
      <c r="Q328" s="27" t="str">
        <f t="shared" si="99"/>
        <v/>
      </c>
      <c r="R328" s="26" t="str">
        <f t="shared" si="100"/>
        <v/>
      </c>
      <c r="S328" s="23" t="str">
        <f>IF(H328=1,VLOOKUP(COUNTIF($H$2:H328,H328),Specyfikacja!$A$5:$D$99,2,0),IF(H328=2,VLOOKUP(COUNTIF($H$2:H328,H328),Specyfikacja!$A$5:$K$99,9,0),""))</f>
        <v/>
      </c>
      <c r="T328" s="23" t="str">
        <f>IF(H328=1,VLOOKUP(COUNTIF($H$2:H328,H328),Specyfikacja!$A$5:$D$99,3,0),IF(H328=2,VLOOKUP(COUNTIF($H$2:H328,H328),Specyfikacja!$A$5:$K$99,10,0),""))</f>
        <v/>
      </c>
      <c r="U328" s="23" t="str">
        <f>SUBSTITUTE(SUBSTITUTE(IF(H328=1,VLOOKUP(COUNTIF($H$2:H328,H328),Specyfikacja!$A$5:$D$99,4,0),IF(H328=2,VLOOKUP(COUNTIF($H$2:H328,H328),Specyfikacja!$A$5:$K$99,11,0),"")),"Tak","YES"),"Nie","NO")</f>
        <v/>
      </c>
    </row>
    <row r="329" spans="1:21" s="7" customFormat="1" ht="12">
      <c r="A329" s="13"/>
      <c r="B329" s="13"/>
      <c r="C329" s="13"/>
      <c r="D329" s="13"/>
      <c r="E329" s="13"/>
      <c r="F329" s="13"/>
      <c r="G329" s="13"/>
      <c r="H329" s="24" t="str">
        <f>IFERROR(IF(COUNTIFS($H$1:H328,H328)&gt;=VLOOKUP(H328,$A$2:$D$309,4,0),IF(H328=MAX($A$2:$A$317),"",Lista!H328+1),H328),"")</f>
        <v/>
      </c>
      <c r="I329" s="22" t="str">
        <f t="shared" si="101"/>
        <v/>
      </c>
      <c r="J329" s="24" t="str">
        <f t="shared" si="102"/>
        <v/>
      </c>
      <c r="K329" s="25" t="str">
        <f t="shared" si="97"/>
        <v/>
      </c>
      <c r="L329" s="26" t="str">
        <f t="shared" si="98"/>
        <v/>
      </c>
      <c r="M329" s="26" t="str">
        <f t="shared" si="103"/>
        <v/>
      </c>
      <c r="N329" s="26" t="str">
        <f t="shared" si="104"/>
        <v/>
      </c>
      <c r="O329" s="26" t="str">
        <f t="shared" si="105"/>
        <v/>
      </c>
      <c r="P329" s="25" t="str">
        <f t="shared" si="106"/>
        <v/>
      </c>
      <c r="Q329" s="27" t="str">
        <f t="shared" si="99"/>
        <v/>
      </c>
      <c r="R329" s="26" t="str">
        <f t="shared" si="100"/>
        <v/>
      </c>
      <c r="S329" s="23" t="str">
        <f>IF(H329=1,VLOOKUP(COUNTIF($H$2:H329,H329),Specyfikacja!$A$5:$D$99,2,0),IF(H329=2,VLOOKUP(COUNTIF($H$2:H329,H329),Specyfikacja!$A$5:$K$99,9,0),""))</f>
        <v/>
      </c>
      <c r="T329" s="23" t="str">
        <f>IF(H329=1,VLOOKUP(COUNTIF($H$2:H329,H329),Specyfikacja!$A$5:$D$99,3,0),IF(H329=2,VLOOKUP(COUNTIF($H$2:H329,H329),Specyfikacja!$A$5:$K$99,10,0),""))</f>
        <v/>
      </c>
      <c r="U329" s="23" t="str">
        <f>SUBSTITUTE(SUBSTITUTE(IF(H329=1,VLOOKUP(COUNTIF($H$2:H329,H329),Specyfikacja!$A$5:$D$99,4,0),IF(H329=2,VLOOKUP(COUNTIF($H$2:H329,H329),Specyfikacja!$A$5:$K$99,11,0),"")),"Tak","YES"),"Nie","NO")</f>
        <v/>
      </c>
    </row>
    <row r="330" spans="1:21" s="7" customFormat="1" ht="12">
      <c r="A330" s="13"/>
      <c r="B330" s="13"/>
      <c r="C330" s="13"/>
      <c r="D330" s="13"/>
      <c r="E330" s="13"/>
      <c r="F330" s="13"/>
      <c r="G330" s="13"/>
      <c r="H330" s="24" t="str">
        <f>IFERROR(IF(COUNTIFS($H$1:H329,H329)&gt;=VLOOKUP(H329,$A$2:$D$309,4,0),IF(H329=MAX($A$2:$A$317),"",Lista!H329+1),H329),"")</f>
        <v/>
      </c>
      <c r="I330" s="22" t="str">
        <f t="shared" si="101"/>
        <v/>
      </c>
      <c r="J330" s="24" t="str">
        <f t="shared" si="102"/>
        <v/>
      </c>
      <c r="K330" s="25" t="str">
        <f t="shared" si="97"/>
        <v/>
      </c>
      <c r="L330" s="26" t="str">
        <f t="shared" si="98"/>
        <v/>
      </c>
      <c r="M330" s="26" t="str">
        <f t="shared" si="103"/>
        <v/>
      </c>
      <c r="N330" s="26" t="str">
        <f t="shared" si="104"/>
        <v/>
      </c>
      <c r="O330" s="26" t="str">
        <f t="shared" si="105"/>
        <v/>
      </c>
      <c r="P330" s="25" t="str">
        <f t="shared" si="106"/>
        <v/>
      </c>
      <c r="Q330" s="27" t="str">
        <f t="shared" si="99"/>
        <v/>
      </c>
      <c r="R330" s="26" t="str">
        <f t="shared" si="100"/>
        <v/>
      </c>
      <c r="S330" s="23" t="str">
        <f>IF(H330=1,VLOOKUP(COUNTIF($H$2:H330,H330),Specyfikacja!$A$5:$D$99,2,0),IF(H330=2,VLOOKUP(COUNTIF($H$2:H330,H330),Specyfikacja!$A$5:$K$99,9,0),""))</f>
        <v/>
      </c>
      <c r="T330" s="23" t="str">
        <f>IF(H330=1,VLOOKUP(COUNTIF($H$2:H330,H330),Specyfikacja!$A$5:$D$99,3,0),IF(H330=2,VLOOKUP(COUNTIF($H$2:H330,H330),Specyfikacja!$A$5:$K$99,10,0),""))</f>
        <v/>
      </c>
      <c r="U330" s="23" t="str">
        <f>SUBSTITUTE(SUBSTITUTE(IF(H330=1,VLOOKUP(COUNTIF($H$2:H330,H330),Specyfikacja!$A$5:$D$99,4,0),IF(H330=2,VLOOKUP(COUNTIF($H$2:H330,H330),Specyfikacja!$A$5:$K$99,11,0),"")),"Tak","YES"),"Nie","NO")</f>
        <v/>
      </c>
    </row>
    <row r="331" spans="1:21" s="7" customFormat="1" ht="12">
      <c r="A331" s="13"/>
      <c r="B331" s="13"/>
      <c r="C331" s="13"/>
      <c r="D331" s="13"/>
      <c r="E331" s="13"/>
      <c r="F331" s="13"/>
      <c r="G331" s="13"/>
      <c r="H331" s="24" t="str">
        <f>IFERROR(IF(COUNTIFS($H$1:H330,H330)&gt;=VLOOKUP(H330,$A$2:$D$309,4,0),IF(H330=MAX($A$2:$A$317),"",Lista!H330+1),H330),"")</f>
        <v/>
      </c>
      <c r="I331" s="22" t="str">
        <f t="shared" si="101"/>
        <v/>
      </c>
      <c r="J331" s="24" t="str">
        <f t="shared" si="102"/>
        <v/>
      </c>
      <c r="K331" s="25" t="str">
        <f t="shared" si="97"/>
        <v/>
      </c>
      <c r="L331" s="26" t="str">
        <f t="shared" si="98"/>
        <v/>
      </c>
      <c r="M331" s="26" t="str">
        <f t="shared" si="103"/>
        <v/>
      </c>
      <c r="N331" s="26" t="str">
        <f t="shared" si="104"/>
        <v/>
      </c>
      <c r="O331" s="26" t="str">
        <f t="shared" si="105"/>
        <v/>
      </c>
      <c r="P331" s="25" t="str">
        <f t="shared" si="106"/>
        <v/>
      </c>
      <c r="Q331" s="27" t="str">
        <f t="shared" si="99"/>
        <v/>
      </c>
      <c r="R331" s="26" t="str">
        <f t="shared" si="100"/>
        <v/>
      </c>
      <c r="S331" s="23" t="str">
        <f>IF(H331=1,VLOOKUP(COUNTIF($H$2:H331,H331),Specyfikacja!$A$5:$D$99,2,0),IF(H331=2,VLOOKUP(COUNTIF($H$2:H331,H331),Specyfikacja!$A$5:$K$99,9,0),""))</f>
        <v/>
      </c>
      <c r="T331" s="23" t="str">
        <f>IF(H331=1,VLOOKUP(COUNTIF($H$2:H331,H331),Specyfikacja!$A$5:$D$99,3,0),IF(H331=2,VLOOKUP(COUNTIF($H$2:H331,H331),Specyfikacja!$A$5:$K$99,10,0),""))</f>
        <v/>
      </c>
      <c r="U331" s="23" t="str">
        <f>SUBSTITUTE(SUBSTITUTE(IF(H331=1,VLOOKUP(COUNTIF($H$2:H331,H331),Specyfikacja!$A$5:$D$99,4,0),IF(H331=2,VLOOKUP(COUNTIF($H$2:H331,H331),Specyfikacja!$A$5:$K$99,11,0),"")),"Tak","YES"),"Nie","NO")</f>
        <v/>
      </c>
    </row>
    <row r="332" spans="1:21" s="7" customFormat="1" ht="12">
      <c r="A332" s="13"/>
      <c r="B332" s="13"/>
      <c r="C332" s="13"/>
      <c r="D332" s="13"/>
      <c r="E332" s="13"/>
      <c r="F332" s="13"/>
      <c r="G332" s="13"/>
      <c r="H332" s="24" t="str">
        <f>IFERROR(IF(COUNTIFS($H$1:H331,H331)&gt;=VLOOKUP(H331,$A$2:$D$309,4,0),IF(H331=MAX($A$2:$A$317),"",Lista!H331+1),H331),"")</f>
        <v/>
      </c>
      <c r="I332" s="22" t="str">
        <f t="shared" si="101"/>
        <v/>
      </c>
      <c r="J332" s="24" t="str">
        <f t="shared" si="102"/>
        <v/>
      </c>
      <c r="K332" s="25" t="str">
        <f t="shared" si="97"/>
        <v/>
      </c>
      <c r="L332" s="26" t="str">
        <f t="shared" si="98"/>
        <v/>
      </c>
      <c r="M332" s="26" t="str">
        <f t="shared" si="103"/>
        <v/>
      </c>
      <c r="N332" s="26" t="str">
        <f t="shared" si="104"/>
        <v/>
      </c>
      <c r="O332" s="26" t="str">
        <f t="shared" si="105"/>
        <v/>
      </c>
      <c r="P332" s="25" t="str">
        <f t="shared" si="106"/>
        <v/>
      </c>
      <c r="Q332" s="27" t="str">
        <f t="shared" si="99"/>
        <v/>
      </c>
      <c r="R332" s="26" t="str">
        <f t="shared" si="100"/>
        <v/>
      </c>
      <c r="S332" s="23" t="str">
        <f>IF(H332=1,VLOOKUP(COUNTIF($H$2:H332,H332),Specyfikacja!$A$5:$D$99,2,0),IF(H332=2,VLOOKUP(COUNTIF($H$2:H332,H332),Specyfikacja!$A$5:$K$99,9,0),""))</f>
        <v/>
      </c>
      <c r="T332" s="23" t="str">
        <f>IF(H332=1,VLOOKUP(COUNTIF($H$2:H332,H332),Specyfikacja!$A$5:$D$99,3,0),IF(H332=2,VLOOKUP(COUNTIF($H$2:H332,H332),Specyfikacja!$A$5:$K$99,10,0),""))</f>
        <v/>
      </c>
      <c r="U332" s="23" t="str">
        <f>SUBSTITUTE(SUBSTITUTE(IF(H332=1,VLOOKUP(COUNTIF($H$2:H332,H332),Specyfikacja!$A$5:$D$99,4,0),IF(H332=2,VLOOKUP(COUNTIF($H$2:H332,H332),Specyfikacja!$A$5:$K$99,11,0),"")),"Tak","YES"),"Nie","NO")</f>
        <v/>
      </c>
    </row>
    <row r="333" spans="1:21" s="7" customFormat="1" ht="12">
      <c r="A333" s="13"/>
      <c r="B333" s="13"/>
      <c r="C333" s="13"/>
      <c r="D333" s="13"/>
      <c r="E333" s="13"/>
      <c r="F333" s="13"/>
      <c r="G333" s="13"/>
      <c r="H333" s="24" t="str">
        <f>IFERROR(IF(COUNTIFS($H$1:H332,H332)&gt;=VLOOKUP(H332,$A$2:$D$309,4,0),IF(H332=MAX($A$2:$A$317),"",Lista!H332+1),H332),"")</f>
        <v/>
      </c>
      <c r="I333" s="22" t="str">
        <f t="shared" si="101"/>
        <v/>
      </c>
      <c r="J333" s="24" t="str">
        <f t="shared" si="102"/>
        <v/>
      </c>
      <c r="K333" s="25" t="str">
        <f t="shared" si="97"/>
        <v/>
      </c>
      <c r="L333" s="26" t="str">
        <f t="shared" si="98"/>
        <v/>
      </c>
      <c r="M333" s="26" t="str">
        <f t="shared" si="103"/>
        <v/>
      </c>
      <c r="N333" s="26" t="str">
        <f t="shared" si="104"/>
        <v/>
      </c>
      <c r="O333" s="26" t="str">
        <f t="shared" si="105"/>
        <v/>
      </c>
      <c r="P333" s="25" t="str">
        <f t="shared" si="106"/>
        <v/>
      </c>
      <c r="Q333" s="27" t="str">
        <f t="shared" si="99"/>
        <v/>
      </c>
      <c r="R333" s="26" t="str">
        <f t="shared" si="100"/>
        <v/>
      </c>
      <c r="S333" s="23" t="str">
        <f>IF(H333=1,VLOOKUP(COUNTIF($H$2:H333,H333),Specyfikacja!$A$5:$D$99,2,0),IF(H333=2,VLOOKUP(COUNTIF($H$2:H333,H333),Specyfikacja!$A$5:$K$99,9,0),""))</f>
        <v/>
      </c>
      <c r="T333" s="23" t="str">
        <f>IF(H333=1,VLOOKUP(COUNTIF($H$2:H333,H333),Specyfikacja!$A$5:$D$99,3,0),IF(H333=2,VLOOKUP(COUNTIF($H$2:H333,H333),Specyfikacja!$A$5:$K$99,10,0),""))</f>
        <v/>
      </c>
      <c r="U333" s="23" t="str">
        <f>SUBSTITUTE(SUBSTITUTE(IF(H333=1,VLOOKUP(COUNTIF($H$2:H333,H333),Specyfikacja!$A$5:$D$99,4,0),IF(H333=2,VLOOKUP(COUNTIF($H$2:H333,H333),Specyfikacja!$A$5:$K$99,11,0),"")),"Tak","YES"),"Nie","NO")</f>
        <v/>
      </c>
    </row>
    <row r="334" spans="1:21" s="7" customFormat="1" ht="12">
      <c r="A334" s="13"/>
      <c r="B334" s="13"/>
      <c r="C334" s="13"/>
      <c r="D334" s="13"/>
      <c r="E334" s="13"/>
      <c r="F334" s="13"/>
      <c r="G334" s="13"/>
      <c r="H334" s="24" t="str">
        <f>IFERROR(IF(COUNTIFS($H$1:H333,H333)&gt;=VLOOKUP(H333,$A$2:$D$309,4,0),IF(H333=MAX($A$2:$A$317),"",Lista!H333+1),H333),"")</f>
        <v/>
      </c>
      <c r="I334" s="22" t="str">
        <f t="shared" si="101"/>
        <v/>
      </c>
      <c r="J334" s="24" t="str">
        <f t="shared" si="102"/>
        <v/>
      </c>
      <c r="K334" s="25" t="str">
        <f t="shared" si="97"/>
        <v/>
      </c>
      <c r="L334" s="26" t="str">
        <f t="shared" si="98"/>
        <v/>
      </c>
      <c r="M334" s="26" t="str">
        <f t="shared" si="103"/>
        <v/>
      </c>
      <c r="N334" s="26" t="str">
        <f t="shared" si="104"/>
        <v/>
      </c>
      <c r="O334" s="26" t="str">
        <f t="shared" si="105"/>
        <v/>
      </c>
      <c r="P334" s="25" t="str">
        <f t="shared" si="106"/>
        <v/>
      </c>
      <c r="Q334" s="27" t="str">
        <f t="shared" si="99"/>
        <v/>
      </c>
      <c r="R334" s="26" t="str">
        <f t="shared" si="100"/>
        <v/>
      </c>
      <c r="S334" s="23" t="str">
        <f>IF(H334=1,VLOOKUP(COUNTIF($H$2:H334,H334),Specyfikacja!$A$5:$D$99,2,0),IF(H334=2,VLOOKUP(COUNTIF($H$2:H334,H334),Specyfikacja!$A$5:$K$99,9,0),""))</f>
        <v/>
      </c>
      <c r="T334" s="23" t="str">
        <f>IF(H334=1,VLOOKUP(COUNTIF($H$2:H334,H334),Specyfikacja!$A$5:$D$99,3,0),IF(H334=2,VLOOKUP(COUNTIF($H$2:H334,H334),Specyfikacja!$A$5:$K$99,10,0),""))</f>
        <v/>
      </c>
      <c r="U334" s="23" t="str">
        <f>SUBSTITUTE(SUBSTITUTE(IF(H334=1,VLOOKUP(COUNTIF($H$2:H334,H334),Specyfikacja!$A$5:$D$99,4,0),IF(H334=2,VLOOKUP(COUNTIF($H$2:H334,H334),Specyfikacja!$A$5:$K$99,11,0),"")),"Tak","YES"),"Nie","NO")</f>
        <v/>
      </c>
    </row>
    <row r="335" spans="1:21" s="7" customFormat="1" ht="12">
      <c r="A335" s="13"/>
      <c r="B335" s="13"/>
      <c r="C335" s="13"/>
      <c r="D335" s="13"/>
      <c r="E335" s="13"/>
      <c r="F335" s="13"/>
      <c r="G335" s="13"/>
      <c r="H335" s="24" t="str">
        <f>IFERROR(IF(COUNTIFS($H$1:H334,H334)&gt;=VLOOKUP(H334,$A$2:$D$309,4,0),IF(H334=MAX($A$2:$A$317),"",Lista!H334+1),H334),"")</f>
        <v/>
      </c>
      <c r="I335" s="22" t="str">
        <f t="shared" si="101"/>
        <v/>
      </c>
      <c r="J335" s="24" t="str">
        <f t="shared" si="102"/>
        <v/>
      </c>
      <c r="K335" s="25" t="str">
        <f t="shared" si="97"/>
        <v/>
      </c>
      <c r="L335" s="26" t="str">
        <f t="shared" si="98"/>
        <v/>
      </c>
      <c r="M335" s="26" t="str">
        <f t="shared" si="103"/>
        <v/>
      </c>
      <c r="N335" s="26" t="str">
        <f t="shared" si="104"/>
        <v/>
      </c>
      <c r="O335" s="26" t="str">
        <f t="shared" si="105"/>
        <v/>
      </c>
      <c r="P335" s="25" t="str">
        <f t="shared" si="106"/>
        <v/>
      </c>
      <c r="Q335" s="27" t="str">
        <f t="shared" si="99"/>
        <v/>
      </c>
      <c r="R335" s="26" t="str">
        <f t="shared" si="100"/>
        <v/>
      </c>
      <c r="S335" s="23" t="str">
        <f>IF(H335=1,VLOOKUP(COUNTIF($H$2:H335,H335),Specyfikacja!$A$5:$D$99,2,0),IF(H335=2,VLOOKUP(COUNTIF($H$2:H335,H335),Specyfikacja!$A$5:$K$99,9,0),""))</f>
        <v/>
      </c>
      <c r="T335" s="23" t="str">
        <f>IF(H335=1,VLOOKUP(COUNTIF($H$2:H335,H335),Specyfikacja!$A$5:$D$99,3,0),IF(H335=2,VLOOKUP(COUNTIF($H$2:H335,H335),Specyfikacja!$A$5:$K$99,10,0),""))</f>
        <v/>
      </c>
      <c r="U335" s="23" t="str">
        <f>SUBSTITUTE(SUBSTITUTE(IF(H335=1,VLOOKUP(COUNTIF($H$2:H335,H335),Specyfikacja!$A$5:$D$99,4,0),IF(H335=2,VLOOKUP(COUNTIF($H$2:H335,H335),Specyfikacja!$A$5:$K$99,11,0),"")),"Tak","YES"),"Nie","NO")</f>
        <v/>
      </c>
    </row>
    <row r="336" spans="1:21" s="7" customFormat="1" ht="12">
      <c r="A336" s="13"/>
      <c r="B336" s="13"/>
      <c r="C336" s="13"/>
      <c r="D336" s="13"/>
      <c r="E336" s="13"/>
      <c r="F336" s="13"/>
      <c r="G336" s="13"/>
      <c r="H336" s="24" t="str">
        <f>IFERROR(IF(COUNTIFS($H$1:H335,H335)&gt;=VLOOKUP(H335,$A$2:$D$309,4,0),IF(H335=MAX($A$2:$A$317),"",Lista!H335+1),H335),"")</f>
        <v/>
      </c>
      <c r="I336" s="22" t="str">
        <f t="shared" si="101"/>
        <v/>
      </c>
      <c r="J336" s="24" t="str">
        <f t="shared" si="102"/>
        <v/>
      </c>
      <c r="K336" s="25" t="str">
        <f t="shared" si="97"/>
        <v/>
      </c>
      <c r="L336" s="26" t="str">
        <f t="shared" si="98"/>
        <v/>
      </c>
      <c r="M336" s="26" t="str">
        <f t="shared" si="103"/>
        <v/>
      </c>
      <c r="N336" s="26" t="str">
        <f t="shared" si="104"/>
        <v/>
      </c>
      <c r="O336" s="26" t="str">
        <f t="shared" si="105"/>
        <v/>
      </c>
      <c r="P336" s="25" t="str">
        <f t="shared" si="106"/>
        <v/>
      </c>
      <c r="Q336" s="27" t="str">
        <f t="shared" si="99"/>
        <v/>
      </c>
      <c r="R336" s="26" t="str">
        <f t="shared" si="100"/>
        <v/>
      </c>
      <c r="S336" s="23" t="str">
        <f>IF(H336=1,VLOOKUP(COUNTIF($H$2:H336,H336),Specyfikacja!$A$5:$D$99,2,0),IF(H336=2,VLOOKUP(COUNTIF($H$2:H336,H336),Specyfikacja!$A$5:$K$99,9,0),""))</f>
        <v/>
      </c>
      <c r="T336" s="23" t="str">
        <f>IF(H336=1,VLOOKUP(COUNTIF($H$2:H336,H336),Specyfikacja!$A$5:$D$99,3,0),IF(H336=2,VLOOKUP(COUNTIF($H$2:H336,H336),Specyfikacja!$A$5:$K$99,10,0),""))</f>
        <v/>
      </c>
      <c r="U336" s="23" t="str">
        <f>SUBSTITUTE(SUBSTITUTE(IF(H336=1,VLOOKUP(COUNTIF($H$2:H336,H336),Specyfikacja!$A$5:$D$99,4,0),IF(H336=2,VLOOKUP(COUNTIF($H$2:H336,H336),Specyfikacja!$A$5:$K$99,11,0),"")),"Tak","YES"),"Nie","NO")</f>
        <v/>
      </c>
    </row>
    <row r="337" spans="1:21" s="7" customFormat="1" ht="12">
      <c r="A337" s="13"/>
      <c r="B337" s="13"/>
      <c r="C337" s="13"/>
      <c r="D337" s="13"/>
      <c r="E337" s="13"/>
      <c r="F337" s="13"/>
      <c r="G337" s="13"/>
      <c r="H337" s="24" t="str">
        <f>IFERROR(IF(COUNTIFS($H$1:H336,H336)&gt;=VLOOKUP(H336,$A$2:$D$309,4,0),IF(H336=MAX($A$2:$A$317),"",Lista!H336+1),H336),"")</f>
        <v/>
      </c>
      <c r="I337" s="22" t="str">
        <f t="shared" si="101"/>
        <v/>
      </c>
      <c r="J337" s="24" t="str">
        <f t="shared" si="102"/>
        <v/>
      </c>
      <c r="K337" s="25" t="str">
        <f t="shared" ref="K337:K400" si="107">IF(H337=H336,"",IF(H337="","",$F$2))</f>
        <v/>
      </c>
      <c r="L337" s="26" t="str">
        <f t="shared" ref="L337:L400" si="108">IF(H337=H336,"",IF(H337="","",$F$3))</f>
        <v/>
      </c>
      <c r="M337" s="26" t="str">
        <f t="shared" si="103"/>
        <v/>
      </c>
      <c r="N337" s="26" t="str">
        <f t="shared" si="104"/>
        <v/>
      </c>
      <c r="O337" s="26" t="str">
        <f t="shared" si="105"/>
        <v/>
      </c>
      <c r="P337" s="25" t="str">
        <f t="shared" si="106"/>
        <v/>
      </c>
      <c r="Q337" s="27" t="str">
        <f t="shared" ref="Q337:Q400" si="109">IF(H337=H336,"",IF(H337="","",$F$8))</f>
        <v/>
      </c>
      <c r="R337" s="26" t="str">
        <f t="shared" ref="R337:R400" si="110">IF(H337=H336,"",IF(H337="","",$F$9))</f>
        <v/>
      </c>
      <c r="S337" s="23" t="str">
        <f>IF(H337=1,VLOOKUP(COUNTIF($H$2:H337,H337),Specyfikacja!$A$5:$D$99,2,0),IF(H337=2,VLOOKUP(COUNTIF($H$2:H337,H337),Specyfikacja!$A$5:$K$99,9,0),""))</f>
        <v/>
      </c>
      <c r="T337" s="23" t="str">
        <f>IF(H337=1,VLOOKUP(COUNTIF($H$2:H337,H337),Specyfikacja!$A$5:$D$99,3,0),IF(H337=2,VLOOKUP(COUNTIF($H$2:H337,H337),Specyfikacja!$A$5:$K$99,10,0),""))</f>
        <v/>
      </c>
      <c r="U337" s="23" t="str">
        <f>SUBSTITUTE(SUBSTITUTE(IF(H337=1,VLOOKUP(COUNTIF($H$2:H337,H337),Specyfikacja!$A$5:$D$99,4,0),IF(H337=2,VLOOKUP(COUNTIF($H$2:H337,H337),Specyfikacja!$A$5:$K$99,11,0),"")),"Tak","YES"),"Nie","NO")</f>
        <v/>
      </c>
    </row>
    <row r="338" spans="1:21" s="7" customFormat="1" ht="12">
      <c r="A338" s="13"/>
      <c r="B338" s="13"/>
      <c r="C338" s="13"/>
      <c r="D338" s="13"/>
      <c r="E338" s="13"/>
      <c r="F338" s="13"/>
      <c r="G338" s="13"/>
      <c r="H338" s="24" t="str">
        <f>IFERROR(IF(COUNTIFS($H$1:H337,H337)&gt;=VLOOKUP(H337,$A$2:$D$309,4,0),IF(H337=MAX($A$2:$A$317),"",Lista!H337+1),H337),"")</f>
        <v/>
      </c>
      <c r="I338" s="22" t="str">
        <f t="shared" si="101"/>
        <v/>
      </c>
      <c r="J338" s="24" t="str">
        <f t="shared" si="102"/>
        <v/>
      </c>
      <c r="K338" s="25" t="str">
        <f t="shared" si="107"/>
        <v/>
      </c>
      <c r="L338" s="26" t="str">
        <f t="shared" si="108"/>
        <v/>
      </c>
      <c r="M338" s="26" t="str">
        <f t="shared" si="103"/>
        <v/>
      </c>
      <c r="N338" s="26" t="str">
        <f t="shared" si="104"/>
        <v/>
      </c>
      <c r="O338" s="26" t="str">
        <f t="shared" si="105"/>
        <v/>
      </c>
      <c r="P338" s="25" t="str">
        <f t="shared" si="106"/>
        <v/>
      </c>
      <c r="Q338" s="27" t="str">
        <f t="shared" si="109"/>
        <v/>
      </c>
      <c r="R338" s="26" t="str">
        <f t="shared" si="110"/>
        <v/>
      </c>
      <c r="S338" s="23" t="str">
        <f>IF(H338=1,VLOOKUP(COUNTIF($H$2:H338,H338),Specyfikacja!$A$5:$D$99,2,0),IF(H338=2,VLOOKUP(COUNTIF($H$2:H338,H338),Specyfikacja!$A$5:$K$99,9,0),""))</f>
        <v/>
      </c>
      <c r="T338" s="23" t="str">
        <f>IF(H338=1,VLOOKUP(COUNTIF($H$2:H338,H338),Specyfikacja!$A$5:$D$99,3,0),IF(H338=2,VLOOKUP(COUNTIF($H$2:H338,H338),Specyfikacja!$A$5:$K$99,10,0),""))</f>
        <v/>
      </c>
      <c r="U338" s="23" t="str">
        <f>SUBSTITUTE(SUBSTITUTE(IF(H338=1,VLOOKUP(COUNTIF($H$2:H338,H338),Specyfikacja!$A$5:$D$99,4,0),IF(H338=2,VLOOKUP(COUNTIF($H$2:H338,H338),Specyfikacja!$A$5:$K$99,11,0),"")),"Tak","YES"),"Nie","NO")</f>
        <v/>
      </c>
    </row>
    <row r="339" spans="1:21" s="7" customFormat="1" ht="12">
      <c r="A339" s="13"/>
      <c r="B339" s="13"/>
      <c r="C339" s="13"/>
      <c r="D339" s="13"/>
      <c r="E339" s="13"/>
      <c r="F339" s="13"/>
      <c r="G339" s="13"/>
      <c r="H339" s="24" t="str">
        <f>IFERROR(IF(COUNTIFS($H$1:H338,H338)&gt;=VLOOKUP(H338,$A$2:$D$309,4,0),IF(H338=MAX($A$2:$A$317),"",Lista!H338+1),H338),"")</f>
        <v/>
      </c>
      <c r="I339" s="22" t="str">
        <f t="shared" si="101"/>
        <v/>
      </c>
      <c r="J339" s="24" t="str">
        <f t="shared" si="102"/>
        <v/>
      </c>
      <c r="K339" s="25" t="str">
        <f t="shared" si="107"/>
        <v/>
      </c>
      <c r="L339" s="26" t="str">
        <f t="shared" si="108"/>
        <v/>
      </c>
      <c r="M339" s="26" t="str">
        <f t="shared" si="103"/>
        <v/>
      </c>
      <c r="N339" s="26" t="str">
        <f t="shared" si="104"/>
        <v/>
      </c>
      <c r="O339" s="26" t="str">
        <f t="shared" si="105"/>
        <v/>
      </c>
      <c r="P339" s="25" t="str">
        <f t="shared" si="106"/>
        <v/>
      </c>
      <c r="Q339" s="27" t="str">
        <f t="shared" si="109"/>
        <v/>
      </c>
      <c r="R339" s="26" t="str">
        <f t="shared" si="110"/>
        <v/>
      </c>
      <c r="S339" s="23" t="str">
        <f>IF(H339=1,VLOOKUP(COUNTIF($H$2:H339,H339),Specyfikacja!$A$5:$D$99,2,0),IF(H339=2,VLOOKUP(COUNTIF($H$2:H339,H339),Specyfikacja!$A$5:$K$99,9,0),""))</f>
        <v/>
      </c>
      <c r="T339" s="23" t="str">
        <f>IF(H339=1,VLOOKUP(COUNTIF($H$2:H339,H339),Specyfikacja!$A$5:$D$99,3,0),IF(H339=2,VLOOKUP(COUNTIF($H$2:H339,H339),Specyfikacja!$A$5:$K$99,10,0),""))</f>
        <v/>
      </c>
      <c r="U339" s="23" t="str">
        <f>SUBSTITUTE(SUBSTITUTE(IF(H339=1,VLOOKUP(COUNTIF($H$2:H339,H339),Specyfikacja!$A$5:$D$99,4,0),IF(H339=2,VLOOKUP(COUNTIF($H$2:H339,H339),Specyfikacja!$A$5:$K$99,11,0),"")),"Tak","YES"),"Nie","NO")</f>
        <v/>
      </c>
    </row>
    <row r="340" spans="1:21" s="7" customFormat="1" ht="12">
      <c r="A340" s="13"/>
      <c r="B340" s="13"/>
      <c r="C340" s="13"/>
      <c r="D340" s="13"/>
      <c r="E340" s="13"/>
      <c r="F340" s="13"/>
      <c r="G340" s="13"/>
      <c r="H340" s="24" t="str">
        <f>IFERROR(IF(COUNTIFS($H$1:H339,H339)&gt;=VLOOKUP(H339,$A$2:$D$309,4,0),IF(H339=MAX($A$2:$A$317),"",Lista!H339+1),H339),"")</f>
        <v/>
      </c>
      <c r="I340" s="22" t="str">
        <f t="shared" si="101"/>
        <v/>
      </c>
      <c r="J340" s="24" t="str">
        <f t="shared" si="102"/>
        <v/>
      </c>
      <c r="K340" s="25" t="str">
        <f t="shared" si="107"/>
        <v/>
      </c>
      <c r="L340" s="26" t="str">
        <f t="shared" si="108"/>
        <v/>
      </c>
      <c r="M340" s="26" t="str">
        <f t="shared" si="103"/>
        <v/>
      </c>
      <c r="N340" s="26" t="str">
        <f t="shared" si="104"/>
        <v/>
      </c>
      <c r="O340" s="26" t="str">
        <f t="shared" si="105"/>
        <v/>
      </c>
      <c r="P340" s="25" t="str">
        <f t="shared" si="106"/>
        <v/>
      </c>
      <c r="Q340" s="27" t="str">
        <f t="shared" si="109"/>
        <v/>
      </c>
      <c r="R340" s="26" t="str">
        <f t="shared" si="110"/>
        <v/>
      </c>
      <c r="S340" s="23" t="str">
        <f>IF(H340=1,VLOOKUP(COUNTIF($H$2:H340,H340),Specyfikacja!$A$5:$D$99,2,0),IF(H340=2,VLOOKUP(COUNTIF($H$2:H340,H340),Specyfikacja!$A$5:$K$99,9,0),""))</f>
        <v/>
      </c>
      <c r="T340" s="23" t="str">
        <f>IF(H340=1,VLOOKUP(COUNTIF($H$2:H340,H340),Specyfikacja!$A$5:$D$99,3,0),IF(H340=2,VLOOKUP(COUNTIF($H$2:H340,H340),Specyfikacja!$A$5:$K$99,10,0),""))</f>
        <v/>
      </c>
      <c r="U340" s="23" t="str">
        <f>SUBSTITUTE(SUBSTITUTE(IF(H340=1,VLOOKUP(COUNTIF($H$2:H340,H340),Specyfikacja!$A$5:$D$99,4,0),IF(H340=2,VLOOKUP(COUNTIF($H$2:H340,H340),Specyfikacja!$A$5:$K$99,11,0),"")),"Tak","YES"),"Nie","NO")</f>
        <v/>
      </c>
    </row>
    <row r="341" spans="1:21" s="7" customFormat="1" ht="12">
      <c r="A341" s="13"/>
      <c r="B341" s="13"/>
      <c r="C341" s="13"/>
      <c r="D341" s="13"/>
      <c r="E341" s="13"/>
      <c r="F341" s="13"/>
      <c r="G341" s="13"/>
      <c r="H341" s="24" t="str">
        <f>IFERROR(IF(COUNTIFS($H$1:H340,H340)&gt;=VLOOKUP(H340,$A$2:$D$309,4,0),IF(H340=MAX($A$2:$A$317),"",Lista!H340+1),H340),"")</f>
        <v/>
      </c>
      <c r="I341" s="22" t="str">
        <f t="shared" si="101"/>
        <v/>
      </c>
      <c r="J341" s="24" t="str">
        <f t="shared" si="102"/>
        <v/>
      </c>
      <c r="K341" s="25" t="str">
        <f t="shared" si="107"/>
        <v/>
      </c>
      <c r="L341" s="26" t="str">
        <f t="shared" si="108"/>
        <v/>
      </c>
      <c r="M341" s="26" t="str">
        <f t="shared" si="103"/>
        <v/>
      </c>
      <c r="N341" s="26" t="str">
        <f t="shared" si="104"/>
        <v/>
      </c>
      <c r="O341" s="26" t="str">
        <f t="shared" si="105"/>
        <v/>
      </c>
      <c r="P341" s="25" t="str">
        <f t="shared" si="106"/>
        <v/>
      </c>
      <c r="Q341" s="27" t="str">
        <f t="shared" si="109"/>
        <v/>
      </c>
      <c r="R341" s="26" t="str">
        <f t="shared" si="110"/>
        <v/>
      </c>
      <c r="S341" s="23" t="str">
        <f>IF(H341=1,VLOOKUP(COUNTIF($H$2:H341,H341),Specyfikacja!$A$5:$D$99,2,0),IF(H341=2,VLOOKUP(COUNTIF($H$2:H341,H341),Specyfikacja!$A$5:$K$99,9,0),""))</f>
        <v/>
      </c>
      <c r="T341" s="23" t="str">
        <f>IF(H341=1,VLOOKUP(COUNTIF($H$2:H341,H341),Specyfikacja!$A$5:$D$99,3,0),IF(H341=2,VLOOKUP(COUNTIF($H$2:H341,H341),Specyfikacja!$A$5:$K$99,10,0),""))</f>
        <v/>
      </c>
      <c r="U341" s="23" t="str">
        <f>SUBSTITUTE(SUBSTITUTE(IF(H341=1,VLOOKUP(COUNTIF($H$2:H341,H341),Specyfikacja!$A$5:$D$99,4,0),IF(H341=2,VLOOKUP(COUNTIF($H$2:H341,H341),Specyfikacja!$A$5:$K$99,11,0),"")),"Tak","YES"),"Nie","NO")</f>
        <v/>
      </c>
    </row>
    <row r="342" spans="1:21" s="7" customFormat="1" ht="12">
      <c r="A342" s="13"/>
      <c r="B342" s="13"/>
      <c r="C342" s="13"/>
      <c r="D342" s="13"/>
      <c r="E342" s="13"/>
      <c r="F342" s="13"/>
      <c r="G342" s="13"/>
      <c r="H342" s="24" t="str">
        <f>IFERROR(IF(COUNTIFS($H$1:H341,H341)&gt;=VLOOKUP(H341,$A$2:$D$309,4,0),IF(H341=MAX($A$2:$A$317),"",Lista!H341+1),H341),"")</f>
        <v/>
      </c>
      <c r="I342" s="22" t="str">
        <f t="shared" si="101"/>
        <v/>
      </c>
      <c r="J342" s="24" t="str">
        <f t="shared" si="102"/>
        <v/>
      </c>
      <c r="K342" s="25" t="str">
        <f t="shared" si="107"/>
        <v/>
      </c>
      <c r="L342" s="26" t="str">
        <f t="shared" si="108"/>
        <v/>
      </c>
      <c r="M342" s="26" t="str">
        <f t="shared" si="103"/>
        <v/>
      </c>
      <c r="N342" s="26" t="str">
        <f t="shared" si="104"/>
        <v/>
      </c>
      <c r="O342" s="26" t="str">
        <f t="shared" si="105"/>
        <v/>
      </c>
      <c r="P342" s="25" t="str">
        <f t="shared" si="106"/>
        <v/>
      </c>
      <c r="Q342" s="27" t="str">
        <f t="shared" si="109"/>
        <v/>
      </c>
      <c r="R342" s="26" t="str">
        <f t="shared" si="110"/>
        <v/>
      </c>
      <c r="S342" s="23" t="str">
        <f>IF(H342=1,VLOOKUP(COUNTIF($H$2:H342,H342),Specyfikacja!$A$5:$D$99,2,0),IF(H342=2,VLOOKUP(COUNTIF($H$2:H342,H342),Specyfikacja!$A$5:$K$99,9,0),""))</f>
        <v/>
      </c>
      <c r="T342" s="23" t="str">
        <f>IF(H342=1,VLOOKUP(COUNTIF($H$2:H342,H342),Specyfikacja!$A$5:$D$99,3,0),IF(H342=2,VLOOKUP(COUNTIF($H$2:H342,H342),Specyfikacja!$A$5:$K$99,10,0),""))</f>
        <v/>
      </c>
      <c r="U342" s="23" t="str">
        <f>SUBSTITUTE(SUBSTITUTE(IF(H342=1,VLOOKUP(COUNTIF($H$2:H342,H342),Specyfikacja!$A$5:$D$99,4,0),IF(H342=2,VLOOKUP(COUNTIF($H$2:H342,H342),Specyfikacja!$A$5:$K$99,11,0),"")),"Tak","YES"),"Nie","NO")</f>
        <v/>
      </c>
    </row>
    <row r="343" spans="1:21" s="7" customFormat="1" ht="12">
      <c r="A343" s="13"/>
      <c r="B343" s="13"/>
      <c r="C343" s="13"/>
      <c r="D343" s="13"/>
      <c r="E343" s="13"/>
      <c r="F343" s="13"/>
      <c r="G343" s="13"/>
      <c r="H343" s="24" t="str">
        <f>IFERROR(IF(COUNTIFS($H$1:H342,H342)&gt;=VLOOKUP(H342,$A$2:$D$309,4,0),IF(H342=MAX($A$2:$A$317),"",Lista!H342+1),H342),"")</f>
        <v/>
      </c>
      <c r="I343" s="22" t="str">
        <f t="shared" si="101"/>
        <v/>
      </c>
      <c r="J343" s="24" t="str">
        <f t="shared" si="102"/>
        <v/>
      </c>
      <c r="K343" s="25" t="str">
        <f t="shared" si="107"/>
        <v/>
      </c>
      <c r="L343" s="26" t="str">
        <f t="shared" si="108"/>
        <v/>
      </c>
      <c r="M343" s="26" t="str">
        <f t="shared" si="103"/>
        <v/>
      </c>
      <c r="N343" s="26" t="str">
        <f t="shared" si="104"/>
        <v/>
      </c>
      <c r="O343" s="26" t="str">
        <f t="shared" si="105"/>
        <v/>
      </c>
      <c r="P343" s="25" t="str">
        <f t="shared" si="106"/>
        <v/>
      </c>
      <c r="Q343" s="27" t="str">
        <f t="shared" si="109"/>
        <v/>
      </c>
      <c r="R343" s="26" t="str">
        <f t="shared" si="110"/>
        <v/>
      </c>
      <c r="S343" s="23" t="str">
        <f>IF(H343=1,VLOOKUP(COUNTIF($H$2:H343,H343),Specyfikacja!$A$5:$D$99,2,0),IF(H343=2,VLOOKUP(COUNTIF($H$2:H343,H343),Specyfikacja!$A$5:$K$99,9,0),""))</f>
        <v/>
      </c>
      <c r="T343" s="23" t="str">
        <f>IF(H343=1,VLOOKUP(COUNTIF($H$2:H343,H343),Specyfikacja!$A$5:$D$99,3,0),IF(H343=2,VLOOKUP(COUNTIF($H$2:H343,H343),Specyfikacja!$A$5:$K$99,10,0),""))</f>
        <v/>
      </c>
      <c r="U343" s="23" t="str">
        <f>SUBSTITUTE(SUBSTITUTE(IF(H343=1,VLOOKUP(COUNTIF($H$2:H343,H343),Specyfikacja!$A$5:$D$99,4,0),IF(H343=2,VLOOKUP(COUNTIF($H$2:H343,H343),Specyfikacja!$A$5:$K$99,11,0),"")),"Tak","YES"),"Nie","NO")</f>
        <v/>
      </c>
    </row>
    <row r="344" spans="1:21" s="7" customFormat="1" ht="12">
      <c r="A344" s="13"/>
      <c r="B344" s="13"/>
      <c r="C344" s="13"/>
      <c r="D344" s="13"/>
      <c r="E344" s="13"/>
      <c r="F344" s="13"/>
      <c r="G344" s="13"/>
      <c r="H344" s="24" t="str">
        <f>IFERROR(IF(COUNTIFS($H$1:H343,H343)&gt;=VLOOKUP(H343,$A$2:$D$309,4,0),IF(H343=MAX($A$2:$A$317),"",Lista!H343+1),H343),"")</f>
        <v/>
      </c>
      <c r="I344" s="22" t="str">
        <f t="shared" si="101"/>
        <v/>
      </c>
      <c r="J344" s="24" t="str">
        <f t="shared" si="102"/>
        <v/>
      </c>
      <c r="K344" s="25" t="str">
        <f t="shared" si="107"/>
        <v/>
      </c>
      <c r="L344" s="26" t="str">
        <f t="shared" si="108"/>
        <v/>
      </c>
      <c r="M344" s="26" t="str">
        <f t="shared" si="103"/>
        <v/>
      </c>
      <c r="N344" s="26" t="str">
        <f t="shared" si="104"/>
        <v/>
      </c>
      <c r="O344" s="26" t="str">
        <f t="shared" si="105"/>
        <v/>
      </c>
      <c r="P344" s="25" t="str">
        <f t="shared" si="106"/>
        <v/>
      </c>
      <c r="Q344" s="27" t="str">
        <f t="shared" si="109"/>
        <v/>
      </c>
      <c r="R344" s="26" t="str">
        <f t="shared" si="110"/>
        <v/>
      </c>
      <c r="S344" s="23" t="str">
        <f>IF(H344=1,VLOOKUP(COUNTIF($H$2:H344,H344),Specyfikacja!$A$5:$D$99,2,0),IF(H344=2,VLOOKUP(COUNTIF($H$2:H344,H344),Specyfikacja!$A$5:$K$99,9,0),""))</f>
        <v/>
      </c>
      <c r="T344" s="23" t="str">
        <f>IF(H344=1,VLOOKUP(COUNTIF($H$2:H344,H344),Specyfikacja!$A$5:$D$99,3,0),IF(H344=2,VLOOKUP(COUNTIF($H$2:H344,H344),Specyfikacja!$A$5:$K$99,10,0),""))</f>
        <v/>
      </c>
      <c r="U344" s="23" t="str">
        <f>SUBSTITUTE(SUBSTITUTE(IF(H344=1,VLOOKUP(COUNTIF($H$2:H344,H344),Specyfikacja!$A$5:$D$99,4,0),IF(H344=2,VLOOKUP(COUNTIF($H$2:H344,H344),Specyfikacja!$A$5:$K$99,11,0),"")),"Tak","YES"),"Nie","NO")</f>
        <v/>
      </c>
    </row>
    <row r="345" spans="1:21" s="7" customFormat="1" ht="12">
      <c r="A345" s="13"/>
      <c r="B345" s="13"/>
      <c r="C345" s="13"/>
      <c r="D345" s="13"/>
      <c r="E345" s="13"/>
      <c r="F345" s="13"/>
      <c r="G345" s="13"/>
      <c r="H345" s="24" t="str">
        <f>IFERROR(IF(COUNTIFS($H$1:H344,H344)&gt;=VLOOKUP(H344,$A$2:$D$309,4,0),IF(H344=MAX($A$2:$A$317),"",Lista!H344+1),H344),"")</f>
        <v/>
      </c>
      <c r="I345" s="22" t="str">
        <f t="shared" si="101"/>
        <v/>
      </c>
      <c r="J345" s="24" t="str">
        <f t="shared" si="102"/>
        <v/>
      </c>
      <c r="K345" s="25" t="str">
        <f t="shared" si="107"/>
        <v/>
      </c>
      <c r="L345" s="26" t="str">
        <f t="shared" si="108"/>
        <v/>
      </c>
      <c r="M345" s="26" t="str">
        <f t="shared" si="103"/>
        <v/>
      </c>
      <c r="N345" s="26" t="str">
        <f t="shared" si="104"/>
        <v/>
      </c>
      <c r="O345" s="26" t="str">
        <f t="shared" si="105"/>
        <v/>
      </c>
      <c r="P345" s="25" t="str">
        <f t="shared" si="106"/>
        <v/>
      </c>
      <c r="Q345" s="27" t="str">
        <f t="shared" si="109"/>
        <v/>
      </c>
      <c r="R345" s="26" t="str">
        <f t="shared" si="110"/>
        <v/>
      </c>
      <c r="S345" s="23" t="str">
        <f>IF(H345=1,VLOOKUP(COUNTIF($H$2:H345,H345),Specyfikacja!$A$5:$D$99,2,0),IF(H345=2,VLOOKUP(COUNTIF($H$2:H345,H345),Specyfikacja!$A$5:$K$99,9,0),""))</f>
        <v/>
      </c>
      <c r="T345" s="23" t="str">
        <f>IF(H345=1,VLOOKUP(COUNTIF($H$2:H345,H345),Specyfikacja!$A$5:$D$99,3,0),IF(H345=2,VLOOKUP(COUNTIF($H$2:H345,H345),Specyfikacja!$A$5:$K$99,10,0),""))</f>
        <v/>
      </c>
      <c r="U345" s="23" t="str">
        <f>SUBSTITUTE(SUBSTITUTE(IF(H345=1,VLOOKUP(COUNTIF($H$2:H345,H345),Specyfikacja!$A$5:$D$99,4,0),IF(H345=2,VLOOKUP(COUNTIF($H$2:H345,H345),Specyfikacja!$A$5:$K$99,11,0),"")),"Tak","YES"),"Nie","NO")</f>
        <v/>
      </c>
    </row>
    <row r="346" spans="1:21" s="7" customFormat="1" ht="12">
      <c r="A346" s="13"/>
      <c r="B346" s="13"/>
      <c r="C346" s="13"/>
      <c r="D346" s="13"/>
      <c r="E346" s="13"/>
      <c r="F346" s="13"/>
      <c r="G346" s="13"/>
      <c r="H346" s="24" t="str">
        <f>IFERROR(IF(COUNTIFS($H$1:H345,H345)&gt;=VLOOKUP(H345,$A$2:$D$309,4,0),IF(H345=MAX($A$2:$A$317),"",Lista!H345+1),H345),"")</f>
        <v/>
      </c>
      <c r="I346" s="22" t="str">
        <f t="shared" si="101"/>
        <v/>
      </c>
      <c r="J346" s="24" t="str">
        <f t="shared" si="102"/>
        <v/>
      </c>
      <c r="K346" s="25" t="str">
        <f t="shared" si="107"/>
        <v/>
      </c>
      <c r="L346" s="26" t="str">
        <f t="shared" si="108"/>
        <v/>
      </c>
      <c r="M346" s="26" t="str">
        <f t="shared" si="103"/>
        <v/>
      </c>
      <c r="N346" s="26" t="str">
        <f t="shared" si="104"/>
        <v/>
      </c>
      <c r="O346" s="26" t="str">
        <f t="shared" si="105"/>
        <v/>
      </c>
      <c r="P346" s="25" t="str">
        <f t="shared" si="106"/>
        <v/>
      </c>
      <c r="Q346" s="27" t="str">
        <f t="shared" si="109"/>
        <v/>
      </c>
      <c r="R346" s="26" t="str">
        <f t="shared" si="110"/>
        <v/>
      </c>
      <c r="S346" s="23" t="str">
        <f>IF(H346=1,VLOOKUP(COUNTIF($H$2:H346,H346),Specyfikacja!$A$5:$D$99,2,0),IF(H346=2,VLOOKUP(COUNTIF($H$2:H346,H346),Specyfikacja!$A$5:$K$99,9,0),""))</f>
        <v/>
      </c>
      <c r="T346" s="23" t="str">
        <f>IF(H346=1,VLOOKUP(COUNTIF($H$2:H346,H346),Specyfikacja!$A$5:$D$99,3,0),IF(H346=2,VLOOKUP(COUNTIF($H$2:H346,H346),Specyfikacja!$A$5:$K$99,10,0),""))</f>
        <v/>
      </c>
      <c r="U346" s="23" t="str">
        <f>SUBSTITUTE(SUBSTITUTE(IF(H346=1,VLOOKUP(COUNTIF($H$2:H346,H346),Specyfikacja!$A$5:$D$99,4,0),IF(H346=2,VLOOKUP(COUNTIF($H$2:H346,H346),Specyfikacja!$A$5:$K$99,11,0),"")),"Tak","YES"),"Nie","NO")</f>
        <v/>
      </c>
    </row>
    <row r="347" spans="1:21" s="7" customFormat="1" ht="12">
      <c r="A347" s="13"/>
      <c r="B347" s="13"/>
      <c r="C347" s="13"/>
      <c r="D347" s="13"/>
      <c r="E347" s="13"/>
      <c r="F347" s="13"/>
      <c r="G347" s="13"/>
      <c r="H347" s="24" t="str">
        <f>IFERROR(IF(COUNTIFS($H$1:H346,H346)&gt;=VLOOKUP(H346,$A$2:$D$309,4,0),IF(H346=MAX($A$2:$A$317),"",Lista!H346+1),H346),"")</f>
        <v/>
      </c>
      <c r="I347" s="22" t="str">
        <f t="shared" si="101"/>
        <v/>
      </c>
      <c r="J347" s="24" t="str">
        <f t="shared" si="102"/>
        <v/>
      </c>
      <c r="K347" s="25" t="str">
        <f t="shared" si="107"/>
        <v/>
      </c>
      <c r="L347" s="26" t="str">
        <f t="shared" si="108"/>
        <v/>
      </c>
      <c r="M347" s="26" t="str">
        <f t="shared" si="103"/>
        <v/>
      </c>
      <c r="N347" s="26" t="str">
        <f t="shared" si="104"/>
        <v/>
      </c>
      <c r="O347" s="26" t="str">
        <f t="shared" si="105"/>
        <v/>
      </c>
      <c r="P347" s="25" t="str">
        <f t="shared" si="106"/>
        <v/>
      </c>
      <c r="Q347" s="27" t="str">
        <f t="shared" si="109"/>
        <v/>
      </c>
      <c r="R347" s="26" t="str">
        <f t="shared" si="110"/>
        <v/>
      </c>
      <c r="S347" s="23" t="str">
        <f>IF(H347=1,VLOOKUP(COUNTIF($H$2:H347,H347),Specyfikacja!$A$5:$D$99,2,0),IF(H347=2,VLOOKUP(COUNTIF($H$2:H347,H347),Specyfikacja!$A$5:$K$99,9,0),""))</f>
        <v/>
      </c>
      <c r="T347" s="23" t="str">
        <f>IF(H347=1,VLOOKUP(COUNTIF($H$2:H347,H347),Specyfikacja!$A$5:$D$99,3,0),IF(H347=2,VLOOKUP(COUNTIF($H$2:H347,H347),Specyfikacja!$A$5:$K$99,10,0),""))</f>
        <v/>
      </c>
      <c r="U347" s="23" t="str">
        <f>SUBSTITUTE(SUBSTITUTE(IF(H347=1,VLOOKUP(COUNTIF($H$2:H347,H347),Specyfikacja!$A$5:$D$99,4,0),IF(H347=2,VLOOKUP(COUNTIF($H$2:H347,H347),Specyfikacja!$A$5:$K$99,11,0),"")),"Tak","YES"),"Nie","NO")</f>
        <v/>
      </c>
    </row>
    <row r="348" spans="1:21" s="7" customFormat="1" ht="12">
      <c r="A348" s="13"/>
      <c r="B348" s="13"/>
      <c r="C348" s="13"/>
      <c r="D348" s="13"/>
      <c r="E348" s="13"/>
      <c r="F348" s="13"/>
      <c r="G348" s="13"/>
      <c r="H348" s="24" t="str">
        <f>IFERROR(IF(COUNTIFS($H$1:H347,H347)&gt;=VLOOKUP(H347,$A$2:$D$309,4,0),IF(H347=MAX($A$2:$A$317),"",Lista!H347+1),H347),"")</f>
        <v/>
      </c>
      <c r="I348" s="22" t="str">
        <f t="shared" si="101"/>
        <v/>
      </c>
      <c r="J348" s="24" t="str">
        <f t="shared" si="102"/>
        <v/>
      </c>
      <c r="K348" s="25" t="str">
        <f t="shared" si="107"/>
        <v/>
      </c>
      <c r="L348" s="26" t="str">
        <f t="shared" si="108"/>
        <v/>
      </c>
      <c r="M348" s="26" t="str">
        <f t="shared" si="103"/>
        <v/>
      </c>
      <c r="N348" s="26" t="str">
        <f t="shared" si="104"/>
        <v/>
      </c>
      <c r="O348" s="26" t="str">
        <f t="shared" si="105"/>
        <v/>
      </c>
      <c r="P348" s="25" t="str">
        <f t="shared" si="106"/>
        <v/>
      </c>
      <c r="Q348" s="27" t="str">
        <f t="shared" si="109"/>
        <v/>
      </c>
      <c r="R348" s="26" t="str">
        <f t="shared" si="110"/>
        <v/>
      </c>
      <c r="S348" s="23" t="str">
        <f>IF(H348=1,VLOOKUP(COUNTIF($H$2:H348,H348),Specyfikacja!$A$5:$D$99,2,0),IF(H348=2,VLOOKUP(COUNTIF($H$2:H348,H348),Specyfikacja!$A$5:$K$99,9,0),""))</f>
        <v/>
      </c>
      <c r="T348" s="23" t="str">
        <f>IF(H348=1,VLOOKUP(COUNTIF($H$2:H348,H348),Specyfikacja!$A$5:$D$99,3,0),IF(H348=2,VLOOKUP(COUNTIF($H$2:H348,H348),Specyfikacja!$A$5:$K$99,10,0),""))</f>
        <v/>
      </c>
      <c r="U348" s="23" t="str">
        <f>SUBSTITUTE(SUBSTITUTE(IF(H348=1,VLOOKUP(COUNTIF($H$2:H348,H348),Specyfikacja!$A$5:$D$99,4,0),IF(H348=2,VLOOKUP(COUNTIF($H$2:H348,H348),Specyfikacja!$A$5:$K$99,11,0),"")),"Tak","YES"),"Nie","NO")</f>
        <v/>
      </c>
    </row>
    <row r="349" spans="1:21" s="7" customFormat="1" ht="12">
      <c r="A349" s="13"/>
      <c r="B349" s="13"/>
      <c r="C349" s="13"/>
      <c r="D349" s="13"/>
      <c r="E349" s="13"/>
      <c r="F349" s="13"/>
      <c r="G349" s="13"/>
      <c r="H349" s="24" t="str">
        <f>IFERROR(IF(COUNTIFS($H$1:H348,H348)&gt;=VLOOKUP(H348,$A$2:$D$309,4,0),IF(H348=MAX($A$2:$A$317),"",Lista!H348+1),H348),"")</f>
        <v/>
      </c>
      <c r="I349" s="22" t="str">
        <f t="shared" si="101"/>
        <v/>
      </c>
      <c r="J349" s="24" t="str">
        <f t="shared" si="102"/>
        <v/>
      </c>
      <c r="K349" s="25" t="str">
        <f t="shared" si="107"/>
        <v/>
      </c>
      <c r="L349" s="26" t="str">
        <f t="shared" si="108"/>
        <v/>
      </c>
      <c r="M349" s="26" t="str">
        <f t="shared" si="103"/>
        <v/>
      </c>
      <c r="N349" s="26" t="str">
        <f t="shared" si="104"/>
        <v/>
      </c>
      <c r="O349" s="26" t="str">
        <f t="shared" si="105"/>
        <v/>
      </c>
      <c r="P349" s="25" t="str">
        <f t="shared" si="106"/>
        <v/>
      </c>
      <c r="Q349" s="27" t="str">
        <f t="shared" si="109"/>
        <v/>
      </c>
      <c r="R349" s="26" t="str">
        <f t="shared" si="110"/>
        <v/>
      </c>
      <c r="S349" s="23" t="str">
        <f>IF(H349=1,VLOOKUP(COUNTIF($H$2:H349,H349),Specyfikacja!$A$5:$D$99,2,0),IF(H349=2,VLOOKUP(COUNTIF($H$2:H349,H349),Specyfikacja!$A$5:$K$99,9,0),""))</f>
        <v/>
      </c>
      <c r="T349" s="23" t="str">
        <f>IF(H349=1,VLOOKUP(COUNTIF($H$2:H349,H349),Specyfikacja!$A$5:$D$99,3,0),IF(H349=2,VLOOKUP(COUNTIF($H$2:H349,H349),Specyfikacja!$A$5:$K$99,10,0),""))</f>
        <v/>
      </c>
      <c r="U349" s="23" t="str">
        <f>SUBSTITUTE(SUBSTITUTE(IF(H349=1,VLOOKUP(COUNTIF($H$2:H349,H349),Specyfikacja!$A$5:$D$99,4,0),IF(H349=2,VLOOKUP(COUNTIF($H$2:H349,H349),Specyfikacja!$A$5:$K$99,11,0),"")),"Tak","YES"),"Nie","NO")</f>
        <v/>
      </c>
    </row>
    <row r="350" spans="1:21" s="7" customFormat="1" ht="12">
      <c r="A350" s="13"/>
      <c r="B350" s="13"/>
      <c r="C350" s="13"/>
      <c r="D350" s="13"/>
      <c r="E350" s="13"/>
      <c r="F350" s="13"/>
      <c r="G350" s="13"/>
      <c r="H350" s="24" t="str">
        <f>IFERROR(IF(COUNTIFS($H$1:H349,H349)&gt;=VLOOKUP(H349,$A$2:$D$309,4,0),IF(H349=MAX($A$2:$A$317),"",Lista!H349+1),H349),"")</f>
        <v/>
      </c>
      <c r="I350" s="22" t="str">
        <f t="shared" si="101"/>
        <v/>
      </c>
      <c r="J350" s="24" t="str">
        <f t="shared" si="102"/>
        <v/>
      </c>
      <c r="K350" s="25" t="str">
        <f t="shared" si="107"/>
        <v/>
      </c>
      <c r="L350" s="26" t="str">
        <f t="shared" si="108"/>
        <v/>
      </c>
      <c r="M350" s="26" t="str">
        <f t="shared" si="103"/>
        <v/>
      </c>
      <c r="N350" s="26" t="str">
        <f t="shared" si="104"/>
        <v/>
      </c>
      <c r="O350" s="26" t="str">
        <f t="shared" si="105"/>
        <v/>
      </c>
      <c r="P350" s="25" t="str">
        <f t="shared" si="106"/>
        <v/>
      </c>
      <c r="Q350" s="27" t="str">
        <f t="shared" si="109"/>
        <v/>
      </c>
      <c r="R350" s="26" t="str">
        <f t="shared" si="110"/>
        <v/>
      </c>
      <c r="S350" s="23" t="str">
        <f>IF(H350=1,VLOOKUP(COUNTIF($H$2:H350,H350),Specyfikacja!$A$5:$D$99,2,0),IF(H350=2,VLOOKUP(COUNTIF($H$2:H350,H350),Specyfikacja!$A$5:$K$99,9,0),""))</f>
        <v/>
      </c>
      <c r="T350" s="23" t="str">
        <f>IF(H350=1,VLOOKUP(COUNTIF($H$2:H350,H350),Specyfikacja!$A$5:$D$99,3,0),IF(H350=2,VLOOKUP(COUNTIF($H$2:H350,H350),Specyfikacja!$A$5:$K$99,10,0),""))</f>
        <v/>
      </c>
      <c r="U350" s="23" t="str">
        <f>SUBSTITUTE(SUBSTITUTE(IF(H350=1,VLOOKUP(COUNTIF($H$2:H350,H350),Specyfikacja!$A$5:$D$99,4,0),IF(H350=2,VLOOKUP(COUNTIF($H$2:H350,H350),Specyfikacja!$A$5:$K$99,11,0),"")),"Tak","YES"),"Nie","NO")</f>
        <v/>
      </c>
    </row>
    <row r="351" spans="1:21" s="7" customFormat="1" ht="12">
      <c r="A351" s="13"/>
      <c r="B351" s="13"/>
      <c r="C351" s="13"/>
      <c r="D351" s="13"/>
      <c r="E351" s="13"/>
      <c r="F351" s="13"/>
      <c r="G351" s="13"/>
      <c r="H351" s="24" t="str">
        <f>IFERROR(IF(COUNTIFS($H$1:H350,H350)&gt;=VLOOKUP(H350,$A$2:$D$309,4,0),IF(H350=MAX($A$2:$A$317),"",Lista!H350+1),H350),"")</f>
        <v/>
      </c>
      <c r="I351" s="22" t="str">
        <f t="shared" si="101"/>
        <v/>
      </c>
      <c r="J351" s="24" t="str">
        <f t="shared" si="102"/>
        <v/>
      </c>
      <c r="K351" s="25" t="str">
        <f t="shared" si="107"/>
        <v/>
      </c>
      <c r="L351" s="26" t="str">
        <f t="shared" si="108"/>
        <v/>
      </c>
      <c r="M351" s="26" t="str">
        <f t="shared" si="103"/>
        <v/>
      </c>
      <c r="N351" s="26" t="str">
        <f t="shared" si="104"/>
        <v/>
      </c>
      <c r="O351" s="26" t="str">
        <f t="shared" si="105"/>
        <v/>
      </c>
      <c r="P351" s="25" t="str">
        <f t="shared" si="106"/>
        <v/>
      </c>
      <c r="Q351" s="27" t="str">
        <f t="shared" si="109"/>
        <v/>
      </c>
      <c r="R351" s="26" t="str">
        <f t="shared" si="110"/>
        <v/>
      </c>
      <c r="S351" s="23" t="str">
        <f>IF(H351=1,VLOOKUP(COUNTIF($H$2:H351,H351),Specyfikacja!$A$5:$D$99,2,0),IF(H351=2,VLOOKUP(COUNTIF($H$2:H351,H351),Specyfikacja!$A$5:$K$99,9,0),""))</f>
        <v/>
      </c>
      <c r="T351" s="23" t="str">
        <f>IF(H351=1,VLOOKUP(COUNTIF($H$2:H351,H351),Specyfikacja!$A$5:$D$99,3,0),IF(H351=2,VLOOKUP(COUNTIF($H$2:H351,H351),Specyfikacja!$A$5:$K$99,10,0),""))</f>
        <v/>
      </c>
      <c r="U351" s="23" t="str">
        <f>SUBSTITUTE(SUBSTITUTE(IF(H351=1,VLOOKUP(COUNTIF($H$2:H351,H351),Specyfikacja!$A$5:$D$99,4,0),IF(H351=2,VLOOKUP(COUNTIF($H$2:H351,H351),Specyfikacja!$A$5:$K$99,11,0),"")),"Tak","YES"),"Nie","NO")</f>
        <v/>
      </c>
    </row>
    <row r="352" spans="1:21" s="7" customFormat="1" ht="12">
      <c r="A352" s="13"/>
      <c r="B352" s="13"/>
      <c r="C352" s="13"/>
      <c r="D352" s="13"/>
      <c r="E352" s="13"/>
      <c r="F352" s="13"/>
      <c r="G352" s="13"/>
      <c r="H352" s="24" t="str">
        <f>IFERROR(IF(COUNTIFS($H$1:H351,H351)&gt;=VLOOKUP(H351,$A$2:$D$309,4,0),IF(H351=MAX($A$2:$A$317),"",Lista!H351+1),H351),"")</f>
        <v/>
      </c>
      <c r="I352" s="22" t="str">
        <f t="shared" si="101"/>
        <v/>
      </c>
      <c r="J352" s="24" t="str">
        <f t="shared" si="102"/>
        <v/>
      </c>
      <c r="K352" s="25" t="str">
        <f t="shared" si="107"/>
        <v/>
      </c>
      <c r="L352" s="26" t="str">
        <f t="shared" si="108"/>
        <v/>
      </c>
      <c r="M352" s="26" t="str">
        <f t="shared" si="103"/>
        <v/>
      </c>
      <c r="N352" s="26" t="str">
        <f t="shared" si="104"/>
        <v/>
      </c>
      <c r="O352" s="26" t="str">
        <f t="shared" si="105"/>
        <v/>
      </c>
      <c r="P352" s="25" t="str">
        <f t="shared" si="106"/>
        <v/>
      </c>
      <c r="Q352" s="27" t="str">
        <f t="shared" si="109"/>
        <v/>
      </c>
      <c r="R352" s="26" t="str">
        <f t="shared" si="110"/>
        <v/>
      </c>
      <c r="S352" s="23" t="str">
        <f>IF(H352=1,VLOOKUP(COUNTIF($H$2:H352,H352),Specyfikacja!$A$5:$D$99,2,0),IF(H352=2,VLOOKUP(COUNTIF($H$2:H352,H352),Specyfikacja!$A$5:$K$99,9,0),""))</f>
        <v/>
      </c>
      <c r="T352" s="23" t="str">
        <f>IF(H352=1,VLOOKUP(COUNTIF($H$2:H352,H352),Specyfikacja!$A$5:$D$99,3,0),IF(H352=2,VLOOKUP(COUNTIF($H$2:H352,H352),Specyfikacja!$A$5:$K$99,10,0),""))</f>
        <v/>
      </c>
      <c r="U352" s="23" t="str">
        <f>SUBSTITUTE(SUBSTITUTE(IF(H352=1,VLOOKUP(COUNTIF($H$2:H352,H352),Specyfikacja!$A$5:$D$99,4,0),IF(H352=2,VLOOKUP(COUNTIF($H$2:H352,H352),Specyfikacja!$A$5:$K$99,11,0),"")),"Tak","YES"),"Nie","NO")</f>
        <v/>
      </c>
    </row>
    <row r="353" spans="1:21" s="7" customFormat="1" ht="12">
      <c r="A353" s="13"/>
      <c r="B353" s="13"/>
      <c r="C353" s="13"/>
      <c r="D353" s="13"/>
      <c r="E353" s="13"/>
      <c r="F353" s="13"/>
      <c r="G353" s="13"/>
      <c r="H353" s="24" t="str">
        <f>IFERROR(IF(COUNTIFS($H$1:H352,H352)&gt;=VLOOKUP(H352,$A$2:$D$309,4,0),IF(H352=MAX($A$2:$A$317),"",Lista!H352+1),H352),"")</f>
        <v/>
      </c>
      <c r="I353" s="22" t="str">
        <f t="shared" si="101"/>
        <v/>
      </c>
      <c r="J353" s="24" t="str">
        <f t="shared" si="102"/>
        <v/>
      </c>
      <c r="K353" s="25" t="str">
        <f t="shared" si="107"/>
        <v/>
      </c>
      <c r="L353" s="26" t="str">
        <f t="shared" si="108"/>
        <v/>
      </c>
      <c r="M353" s="26" t="str">
        <f t="shared" si="103"/>
        <v/>
      </c>
      <c r="N353" s="26" t="str">
        <f t="shared" si="104"/>
        <v/>
      </c>
      <c r="O353" s="26" t="str">
        <f t="shared" si="105"/>
        <v/>
      </c>
      <c r="P353" s="25" t="str">
        <f t="shared" si="106"/>
        <v/>
      </c>
      <c r="Q353" s="27" t="str">
        <f t="shared" si="109"/>
        <v/>
      </c>
      <c r="R353" s="26" t="str">
        <f t="shared" si="110"/>
        <v/>
      </c>
      <c r="S353" s="23" t="str">
        <f>IF(H353=1,VLOOKUP(COUNTIF($H$2:H353,H353),Specyfikacja!$A$5:$D$99,2,0),IF(H353=2,VLOOKUP(COUNTIF($H$2:H353,H353),Specyfikacja!$A$5:$K$99,9,0),""))</f>
        <v/>
      </c>
      <c r="T353" s="23" t="str">
        <f>IF(H353=1,VLOOKUP(COUNTIF($H$2:H353,H353),Specyfikacja!$A$5:$D$99,3,0),IF(H353=2,VLOOKUP(COUNTIF($H$2:H353,H353),Specyfikacja!$A$5:$K$99,10,0),""))</f>
        <v/>
      </c>
      <c r="U353" s="23" t="str">
        <f>SUBSTITUTE(SUBSTITUTE(IF(H353=1,VLOOKUP(COUNTIF($H$2:H353,H353),Specyfikacja!$A$5:$D$99,4,0),IF(H353=2,VLOOKUP(COUNTIF($H$2:H353,H353),Specyfikacja!$A$5:$K$99,11,0),"")),"Tak","YES"),"Nie","NO")</f>
        <v/>
      </c>
    </row>
    <row r="354" spans="1:21" s="7" customFormat="1" ht="12">
      <c r="A354" s="13"/>
      <c r="B354" s="13"/>
      <c r="C354" s="13"/>
      <c r="D354" s="13"/>
      <c r="E354" s="13"/>
      <c r="F354" s="13"/>
      <c r="G354" s="13"/>
      <c r="H354" s="24" t="str">
        <f>IFERROR(IF(COUNTIFS($H$1:H353,H353)&gt;=VLOOKUP(H353,$A$2:$D$309,4,0),IF(H353=MAX($A$2:$A$317),"",Lista!H353+1),H353),"")</f>
        <v/>
      </c>
      <c r="I354" s="22" t="str">
        <f t="shared" si="101"/>
        <v/>
      </c>
      <c r="J354" s="24" t="str">
        <f t="shared" si="102"/>
        <v/>
      </c>
      <c r="K354" s="25" t="str">
        <f t="shared" si="107"/>
        <v/>
      </c>
      <c r="L354" s="26" t="str">
        <f t="shared" si="108"/>
        <v/>
      </c>
      <c r="M354" s="26" t="str">
        <f t="shared" si="103"/>
        <v/>
      </c>
      <c r="N354" s="26" t="str">
        <f t="shared" si="104"/>
        <v/>
      </c>
      <c r="O354" s="26" t="str">
        <f t="shared" si="105"/>
        <v/>
      </c>
      <c r="P354" s="25" t="str">
        <f t="shared" si="106"/>
        <v/>
      </c>
      <c r="Q354" s="27" t="str">
        <f t="shared" si="109"/>
        <v/>
      </c>
      <c r="R354" s="26" t="str">
        <f t="shared" si="110"/>
        <v/>
      </c>
      <c r="S354" s="23" t="str">
        <f>IF(H354=1,VLOOKUP(COUNTIF($H$2:H354,H354),Specyfikacja!$A$5:$D$99,2,0),IF(H354=2,VLOOKUP(COUNTIF($H$2:H354,H354),Specyfikacja!$A$5:$K$99,9,0),""))</f>
        <v/>
      </c>
      <c r="T354" s="23" t="str">
        <f>IF(H354=1,VLOOKUP(COUNTIF($H$2:H354,H354),Specyfikacja!$A$5:$D$99,3,0),IF(H354=2,VLOOKUP(COUNTIF($H$2:H354,H354),Specyfikacja!$A$5:$K$99,10,0),""))</f>
        <v/>
      </c>
      <c r="U354" s="23" t="str">
        <f>SUBSTITUTE(SUBSTITUTE(IF(H354=1,VLOOKUP(COUNTIF($H$2:H354,H354),Specyfikacja!$A$5:$D$99,4,0),IF(H354=2,VLOOKUP(COUNTIF($H$2:H354,H354),Specyfikacja!$A$5:$K$99,11,0),"")),"Tak","YES"),"Nie","NO")</f>
        <v/>
      </c>
    </row>
    <row r="355" spans="1:21" s="7" customFormat="1" ht="12">
      <c r="A355" s="13"/>
      <c r="B355" s="13"/>
      <c r="C355" s="13"/>
      <c r="D355" s="13"/>
      <c r="E355" s="13"/>
      <c r="F355" s="13"/>
      <c r="G355" s="13"/>
      <c r="H355" s="24" t="str">
        <f>IFERROR(IF(COUNTIFS($H$1:H354,H354)&gt;=VLOOKUP(H354,$A$2:$D$309,4,0),IF(H354=MAX($A$2:$A$317),"",Lista!H354+1),H354),"")</f>
        <v/>
      </c>
      <c r="I355" s="22" t="str">
        <f t="shared" si="101"/>
        <v/>
      </c>
      <c r="J355" s="24" t="str">
        <f t="shared" si="102"/>
        <v/>
      </c>
      <c r="K355" s="25" t="str">
        <f t="shared" si="107"/>
        <v/>
      </c>
      <c r="L355" s="26" t="str">
        <f t="shared" si="108"/>
        <v/>
      </c>
      <c r="M355" s="26" t="str">
        <f t="shared" si="103"/>
        <v/>
      </c>
      <c r="N355" s="26" t="str">
        <f t="shared" si="104"/>
        <v/>
      </c>
      <c r="O355" s="26" t="str">
        <f t="shared" si="105"/>
        <v/>
      </c>
      <c r="P355" s="25" t="str">
        <f t="shared" si="106"/>
        <v/>
      </c>
      <c r="Q355" s="27" t="str">
        <f t="shared" si="109"/>
        <v/>
      </c>
      <c r="R355" s="26" t="str">
        <f t="shared" si="110"/>
        <v/>
      </c>
      <c r="S355" s="23" t="str">
        <f>IF(H355=1,VLOOKUP(COUNTIF($H$2:H355,H355),Specyfikacja!$A$5:$D$99,2,0),IF(H355=2,VLOOKUP(COUNTIF($H$2:H355,H355),Specyfikacja!$A$5:$K$99,9,0),""))</f>
        <v/>
      </c>
      <c r="T355" s="23" t="str">
        <f>IF(H355=1,VLOOKUP(COUNTIF($H$2:H355,H355),Specyfikacja!$A$5:$D$99,3,0),IF(H355=2,VLOOKUP(COUNTIF($H$2:H355,H355),Specyfikacja!$A$5:$K$99,10,0),""))</f>
        <v/>
      </c>
      <c r="U355" s="23" t="str">
        <f>SUBSTITUTE(SUBSTITUTE(IF(H355=1,VLOOKUP(COUNTIF($H$2:H355,H355),Specyfikacja!$A$5:$D$99,4,0),IF(H355=2,VLOOKUP(COUNTIF($H$2:H355,H355),Specyfikacja!$A$5:$K$99,11,0),"")),"Tak","YES"),"Nie","NO")</f>
        <v/>
      </c>
    </row>
    <row r="356" spans="1:21" s="7" customFormat="1" ht="12">
      <c r="A356" s="13"/>
      <c r="B356" s="13"/>
      <c r="C356" s="13"/>
      <c r="D356" s="13"/>
      <c r="E356" s="13"/>
      <c r="F356" s="13"/>
      <c r="G356" s="13"/>
      <c r="H356" s="24" t="str">
        <f>IFERROR(IF(COUNTIFS($H$1:H355,H355)&gt;=VLOOKUP(H355,$A$2:$D$309,4,0),IF(H355=MAX($A$2:$A$317),"",Lista!H355+1),H355),"")</f>
        <v/>
      </c>
      <c r="I356" s="22" t="str">
        <f t="shared" si="101"/>
        <v/>
      </c>
      <c r="J356" s="24" t="str">
        <f t="shared" si="102"/>
        <v/>
      </c>
      <c r="K356" s="25" t="str">
        <f t="shared" si="107"/>
        <v/>
      </c>
      <c r="L356" s="26" t="str">
        <f t="shared" si="108"/>
        <v/>
      </c>
      <c r="M356" s="26" t="str">
        <f t="shared" si="103"/>
        <v/>
      </c>
      <c r="N356" s="26" t="str">
        <f t="shared" si="104"/>
        <v/>
      </c>
      <c r="O356" s="26" t="str">
        <f t="shared" si="105"/>
        <v/>
      </c>
      <c r="P356" s="25" t="str">
        <f t="shared" si="106"/>
        <v/>
      </c>
      <c r="Q356" s="27" t="str">
        <f t="shared" si="109"/>
        <v/>
      </c>
      <c r="R356" s="26" t="str">
        <f t="shared" si="110"/>
        <v/>
      </c>
      <c r="S356" s="23" t="str">
        <f>IF(H356=1,VLOOKUP(COUNTIF($H$2:H356,H356),Specyfikacja!$A$5:$D$99,2,0),IF(H356=2,VLOOKUP(COUNTIF($H$2:H356,H356),Specyfikacja!$A$5:$K$99,9,0),""))</f>
        <v/>
      </c>
      <c r="T356" s="23" t="str">
        <f>IF(H356=1,VLOOKUP(COUNTIF($H$2:H356,H356),Specyfikacja!$A$5:$D$99,3,0),IF(H356=2,VLOOKUP(COUNTIF($H$2:H356,H356),Specyfikacja!$A$5:$K$99,10,0),""))</f>
        <v/>
      </c>
      <c r="U356" s="23" t="str">
        <f>SUBSTITUTE(SUBSTITUTE(IF(H356=1,VLOOKUP(COUNTIF($H$2:H356,H356),Specyfikacja!$A$5:$D$99,4,0),IF(H356=2,VLOOKUP(COUNTIF($H$2:H356,H356),Specyfikacja!$A$5:$K$99,11,0),"")),"Tak","YES"),"Nie","NO")</f>
        <v/>
      </c>
    </row>
    <row r="357" spans="1:21" s="7" customFormat="1" ht="12">
      <c r="A357" s="13"/>
      <c r="B357" s="13"/>
      <c r="C357" s="13"/>
      <c r="D357" s="13"/>
      <c r="E357" s="13"/>
      <c r="F357" s="13"/>
      <c r="G357" s="13"/>
      <c r="H357" s="24" t="str">
        <f>IFERROR(IF(COUNTIFS($H$1:H356,H356)&gt;=VLOOKUP(H356,$A$2:$D$309,4,0),IF(H356=MAX($A$2:$A$317),"",Lista!H356+1),H356),"")</f>
        <v/>
      </c>
      <c r="I357" s="22" t="str">
        <f t="shared" si="101"/>
        <v/>
      </c>
      <c r="J357" s="24" t="str">
        <f t="shared" si="102"/>
        <v/>
      </c>
      <c r="K357" s="25" t="str">
        <f t="shared" si="107"/>
        <v/>
      </c>
      <c r="L357" s="26" t="str">
        <f t="shared" si="108"/>
        <v/>
      </c>
      <c r="M357" s="26" t="str">
        <f t="shared" si="103"/>
        <v/>
      </c>
      <c r="N357" s="26" t="str">
        <f t="shared" si="104"/>
        <v/>
      </c>
      <c r="O357" s="26" t="str">
        <f t="shared" si="105"/>
        <v/>
      </c>
      <c r="P357" s="25" t="str">
        <f t="shared" si="106"/>
        <v/>
      </c>
      <c r="Q357" s="27" t="str">
        <f t="shared" si="109"/>
        <v/>
      </c>
      <c r="R357" s="26" t="str">
        <f t="shared" si="110"/>
        <v/>
      </c>
      <c r="S357" s="23" t="str">
        <f>IF(H357=1,VLOOKUP(COUNTIF($H$2:H357,H357),Specyfikacja!$A$5:$D$99,2,0),IF(H357=2,VLOOKUP(COUNTIF($H$2:H357,H357),Specyfikacja!$A$5:$K$99,9,0),""))</f>
        <v/>
      </c>
      <c r="T357" s="23" t="str">
        <f>IF(H357=1,VLOOKUP(COUNTIF($H$2:H357,H357),Specyfikacja!$A$5:$D$99,3,0),IF(H357=2,VLOOKUP(COUNTIF($H$2:H357,H357),Specyfikacja!$A$5:$K$99,10,0),""))</f>
        <v/>
      </c>
      <c r="U357" s="23" t="str">
        <f>SUBSTITUTE(SUBSTITUTE(IF(H357=1,VLOOKUP(COUNTIF($H$2:H357,H357),Specyfikacja!$A$5:$D$99,4,0),IF(H357=2,VLOOKUP(COUNTIF($H$2:H357,H357),Specyfikacja!$A$5:$K$99,11,0),"")),"Tak","YES"),"Nie","NO")</f>
        <v/>
      </c>
    </row>
    <row r="358" spans="1:21" s="7" customFormat="1" ht="12">
      <c r="A358" s="13"/>
      <c r="B358" s="13"/>
      <c r="C358" s="13"/>
      <c r="D358" s="13"/>
      <c r="E358" s="13"/>
      <c r="F358" s="13"/>
      <c r="G358" s="13"/>
      <c r="H358" s="24" t="str">
        <f>IFERROR(IF(COUNTIFS($H$1:H357,H357)&gt;=VLOOKUP(H357,$A$2:$D$309,4,0),IF(H357=MAX($A$2:$A$317),"",Lista!H357+1),H357),"")</f>
        <v/>
      </c>
      <c r="I358" s="22" t="str">
        <f t="shared" si="101"/>
        <v/>
      </c>
      <c r="J358" s="24" t="str">
        <f t="shared" si="102"/>
        <v/>
      </c>
      <c r="K358" s="25" t="str">
        <f t="shared" si="107"/>
        <v/>
      </c>
      <c r="L358" s="26" t="str">
        <f t="shared" si="108"/>
        <v/>
      </c>
      <c r="M358" s="26" t="str">
        <f t="shared" si="103"/>
        <v/>
      </c>
      <c r="N358" s="26" t="str">
        <f t="shared" si="104"/>
        <v/>
      </c>
      <c r="O358" s="26" t="str">
        <f t="shared" si="105"/>
        <v/>
      </c>
      <c r="P358" s="25" t="str">
        <f t="shared" si="106"/>
        <v/>
      </c>
      <c r="Q358" s="27" t="str">
        <f t="shared" si="109"/>
        <v/>
      </c>
      <c r="R358" s="26" t="str">
        <f t="shared" si="110"/>
        <v/>
      </c>
      <c r="S358" s="23" t="str">
        <f>IF(H358=1,VLOOKUP(COUNTIF($H$2:H358,H358),Specyfikacja!$A$5:$D$99,2,0),IF(H358=2,VLOOKUP(COUNTIF($H$2:H358,H358),Specyfikacja!$A$5:$K$99,9,0),""))</f>
        <v/>
      </c>
      <c r="T358" s="23" t="str">
        <f>IF(H358=1,VLOOKUP(COUNTIF($H$2:H358,H358),Specyfikacja!$A$5:$D$99,3,0),IF(H358=2,VLOOKUP(COUNTIF($H$2:H358,H358),Specyfikacja!$A$5:$K$99,10,0),""))</f>
        <v/>
      </c>
      <c r="U358" s="23" t="str">
        <f>SUBSTITUTE(SUBSTITUTE(IF(H358=1,VLOOKUP(COUNTIF($H$2:H358,H358),Specyfikacja!$A$5:$D$99,4,0),IF(H358=2,VLOOKUP(COUNTIF($H$2:H358,H358),Specyfikacja!$A$5:$K$99,11,0),"")),"Tak","YES"),"Nie","NO")</f>
        <v/>
      </c>
    </row>
    <row r="359" spans="1:21" s="7" customFormat="1" ht="12">
      <c r="A359" s="13"/>
      <c r="B359" s="13"/>
      <c r="C359" s="13"/>
      <c r="D359" s="13"/>
      <c r="E359" s="13"/>
      <c r="F359" s="13"/>
      <c r="G359" s="13"/>
      <c r="H359" s="24" t="str">
        <f>IFERROR(IF(COUNTIFS($H$1:H358,H358)&gt;=VLOOKUP(H358,$A$2:$D$309,4,0),IF(H358=MAX($A$2:$A$317),"",Lista!H358+1),H358),"")</f>
        <v/>
      </c>
      <c r="I359" s="22" t="str">
        <f t="shared" si="101"/>
        <v/>
      </c>
      <c r="J359" s="24" t="str">
        <f t="shared" si="102"/>
        <v/>
      </c>
      <c r="K359" s="25" t="str">
        <f t="shared" si="107"/>
        <v/>
      </c>
      <c r="L359" s="26" t="str">
        <f t="shared" si="108"/>
        <v/>
      </c>
      <c r="M359" s="26" t="str">
        <f t="shared" si="103"/>
        <v/>
      </c>
      <c r="N359" s="26" t="str">
        <f t="shared" si="104"/>
        <v/>
      </c>
      <c r="O359" s="26" t="str">
        <f t="shared" si="105"/>
        <v/>
      </c>
      <c r="P359" s="25" t="str">
        <f t="shared" si="106"/>
        <v/>
      </c>
      <c r="Q359" s="27" t="str">
        <f t="shared" si="109"/>
        <v/>
      </c>
      <c r="R359" s="26" t="str">
        <f t="shared" si="110"/>
        <v/>
      </c>
      <c r="S359" s="23" t="str">
        <f>IF(H359=1,VLOOKUP(COUNTIF($H$2:H359,H359),Specyfikacja!$A$5:$D$99,2,0),IF(H359=2,VLOOKUP(COUNTIF($H$2:H359,H359),Specyfikacja!$A$5:$K$99,9,0),""))</f>
        <v/>
      </c>
      <c r="T359" s="23" t="str">
        <f>IF(H359=1,VLOOKUP(COUNTIF($H$2:H359,H359),Specyfikacja!$A$5:$D$99,3,0),IF(H359=2,VLOOKUP(COUNTIF($H$2:H359,H359),Specyfikacja!$A$5:$K$99,10,0),""))</f>
        <v/>
      </c>
      <c r="U359" s="23" t="str">
        <f>SUBSTITUTE(SUBSTITUTE(IF(H359=1,VLOOKUP(COUNTIF($H$2:H359,H359),Specyfikacja!$A$5:$D$99,4,0),IF(H359=2,VLOOKUP(COUNTIF($H$2:H359,H359),Specyfikacja!$A$5:$K$99,11,0),"")),"Tak","YES"),"Nie","NO")</f>
        <v/>
      </c>
    </row>
    <row r="360" spans="1:21" s="7" customFormat="1" ht="12">
      <c r="A360" s="13"/>
      <c r="B360" s="13"/>
      <c r="C360" s="13"/>
      <c r="D360" s="13"/>
      <c r="E360" s="13"/>
      <c r="F360" s="13"/>
      <c r="G360" s="13"/>
      <c r="H360" s="24" t="str">
        <f>IFERROR(IF(COUNTIFS($H$1:H359,H359)&gt;=VLOOKUP(H359,$A$2:$D$309,4,0),IF(H359=MAX($A$2:$A$317),"",Lista!H359+1),H359),"")</f>
        <v/>
      </c>
      <c r="I360" s="22" t="str">
        <f t="shared" si="101"/>
        <v/>
      </c>
      <c r="J360" s="24" t="str">
        <f t="shared" si="102"/>
        <v/>
      </c>
      <c r="K360" s="25" t="str">
        <f t="shared" si="107"/>
        <v/>
      </c>
      <c r="L360" s="26" t="str">
        <f t="shared" si="108"/>
        <v/>
      </c>
      <c r="M360" s="26" t="str">
        <f t="shared" si="103"/>
        <v/>
      </c>
      <c r="N360" s="26" t="str">
        <f t="shared" si="104"/>
        <v/>
      </c>
      <c r="O360" s="26" t="str">
        <f t="shared" si="105"/>
        <v/>
      </c>
      <c r="P360" s="25" t="str">
        <f t="shared" si="106"/>
        <v/>
      </c>
      <c r="Q360" s="27" t="str">
        <f t="shared" si="109"/>
        <v/>
      </c>
      <c r="R360" s="26" t="str">
        <f t="shared" si="110"/>
        <v/>
      </c>
      <c r="S360" s="23" t="str">
        <f>IF(H360=1,VLOOKUP(COUNTIF($H$2:H360,H360),Specyfikacja!$A$5:$D$99,2,0),IF(H360=2,VLOOKUP(COUNTIF($H$2:H360,H360),Specyfikacja!$A$5:$K$99,9,0),""))</f>
        <v/>
      </c>
      <c r="T360" s="23" t="str">
        <f>IF(H360=1,VLOOKUP(COUNTIF($H$2:H360,H360),Specyfikacja!$A$5:$D$99,3,0),IF(H360=2,VLOOKUP(COUNTIF($H$2:H360,H360),Specyfikacja!$A$5:$K$99,10,0),""))</f>
        <v/>
      </c>
      <c r="U360" s="23" t="str">
        <f>SUBSTITUTE(SUBSTITUTE(IF(H360=1,VLOOKUP(COUNTIF($H$2:H360,H360),Specyfikacja!$A$5:$D$99,4,0),IF(H360=2,VLOOKUP(COUNTIF($H$2:H360,H360),Specyfikacja!$A$5:$K$99,11,0),"")),"Tak","YES"),"Nie","NO")</f>
        <v/>
      </c>
    </row>
    <row r="361" spans="1:21" s="7" customFormat="1" ht="12">
      <c r="A361" s="13"/>
      <c r="B361" s="13"/>
      <c r="C361" s="13"/>
      <c r="D361" s="13"/>
      <c r="E361" s="13"/>
      <c r="F361" s="13"/>
      <c r="G361" s="13"/>
      <c r="H361" s="24" t="str">
        <f>IFERROR(IF(COUNTIFS($H$1:H360,H360)&gt;=VLOOKUP(H360,$A$2:$D$309,4,0),IF(H360=MAX($A$2:$A$317),"",Lista!H360+1),H360),"")</f>
        <v/>
      </c>
      <c r="I361" s="22" t="str">
        <f t="shared" si="101"/>
        <v/>
      </c>
      <c r="J361" s="24" t="str">
        <f t="shared" si="102"/>
        <v/>
      </c>
      <c r="K361" s="25" t="str">
        <f t="shared" si="107"/>
        <v/>
      </c>
      <c r="L361" s="26" t="str">
        <f t="shared" si="108"/>
        <v/>
      </c>
      <c r="M361" s="26" t="str">
        <f t="shared" si="103"/>
        <v/>
      </c>
      <c r="N361" s="26" t="str">
        <f t="shared" si="104"/>
        <v/>
      </c>
      <c r="O361" s="26" t="str">
        <f t="shared" si="105"/>
        <v/>
      </c>
      <c r="P361" s="25" t="str">
        <f t="shared" si="106"/>
        <v/>
      </c>
      <c r="Q361" s="27" t="str">
        <f t="shared" si="109"/>
        <v/>
      </c>
      <c r="R361" s="26" t="str">
        <f t="shared" si="110"/>
        <v/>
      </c>
      <c r="S361" s="23" t="str">
        <f>IF(H361=1,VLOOKUP(COUNTIF($H$2:H361,H361),Specyfikacja!$A$5:$D$99,2,0),IF(H361=2,VLOOKUP(COUNTIF($H$2:H361,H361),Specyfikacja!$A$5:$K$99,9,0),""))</f>
        <v/>
      </c>
      <c r="T361" s="23" t="str">
        <f>IF(H361=1,VLOOKUP(COUNTIF($H$2:H361,H361),Specyfikacja!$A$5:$D$99,3,0),IF(H361=2,VLOOKUP(COUNTIF($H$2:H361,H361),Specyfikacja!$A$5:$K$99,10,0),""))</f>
        <v/>
      </c>
      <c r="U361" s="23" t="str">
        <f>SUBSTITUTE(SUBSTITUTE(IF(H361=1,VLOOKUP(COUNTIF($H$2:H361,H361),Specyfikacja!$A$5:$D$99,4,0),IF(H361=2,VLOOKUP(COUNTIF($H$2:H361,H361),Specyfikacja!$A$5:$K$99,11,0),"")),"Tak","YES"),"Nie","NO")</f>
        <v/>
      </c>
    </row>
    <row r="362" spans="1:21">
      <c r="A362" s="13"/>
      <c r="B362" s="13"/>
      <c r="C362" s="13"/>
      <c r="D362" s="13"/>
      <c r="H362" s="24" t="str">
        <f>IFERROR(IF(COUNTIFS($H$1:H361,H361)&gt;=VLOOKUP(H361,$A$2:$D$309,4,0),IF(H361=MAX($A$2:$A$317),"",Lista!H361+1),H361),"")</f>
        <v/>
      </c>
      <c r="I362" s="22" t="str">
        <f t="shared" si="101"/>
        <v/>
      </c>
      <c r="J362" s="24" t="str">
        <f t="shared" si="102"/>
        <v/>
      </c>
      <c r="K362" s="25" t="str">
        <f t="shared" si="107"/>
        <v/>
      </c>
      <c r="L362" s="26" t="str">
        <f t="shared" si="108"/>
        <v/>
      </c>
      <c r="M362" s="26" t="str">
        <f t="shared" si="103"/>
        <v/>
      </c>
      <c r="N362" s="26" t="str">
        <f t="shared" si="104"/>
        <v/>
      </c>
      <c r="O362" s="26" t="str">
        <f t="shared" si="105"/>
        <v/>
      </c>
      <c r="P362" s="25" t="str">
        <f t="shared" si="106"/>
        <v/>
      </c>
      <c r="Q362" s="27" t="str">
        <f t="shared" si="109"/>
        <v/>
      </c>
      <c r="R362" s="26" t="str">
        <f t="shared" si="110"/>
        <v/>
      </c>
      <c r="S362" s="23" t="str">
        <f>IF(H362=1,VLOOKUP(COUNTIF($H$2:H362,H362),Specyfikacja!$A$5:$D$99,2,0),IF(H362=2,VLOOKUP(COUNTIF($H$2:H362,H362),Specyfikacja!$A$5:$K$99,9,0),""))</f>
        <v/>
      </c>
      <c r="T362" s="23" t="str">
        <f>IF(H362=1,VLOOKUP(COUNTIF($H$2:H362,H362),Specyfikacja!$A$5:$D$99,3,0),IF(H362=2,VLOOKUP(COUNTIF($H$2:H362,H362),Specyfikacja!$A$5:$K$99,10,0),""))</f>
        <v/>
      </c>
      <c r="U362" s="23" t="str">
        <f>SUBSTITUTE(SUBSTITUTE(IF(H362=1,VLOOKUP(COUNTIF($H$2:H362,H362),Specyfikacja!$A$5:$D$99,4,0),IF(H362=2,VLOOKUP(COUNTIF($H$2:H362,H362),Specyfikacja!$A$5:$K$99,11,0),"")),"Tak","YES"),"Nie","NO")</f>
        <v/>
      </c>
    </row>
    <row r="363" spans="1:21">
      <c r="A363" s="13"/>
      <c r="B363" s="13"/>
      <c r="C363" s="13"/>
      <c r="D363" s="13"/>
      <c r="H363" s="24" t="str">
        <f>IFERROR(IF(COUNTIFS($H$1:H362,H362)&gt;=VLOOKUP(H362,$A$2:$D$309,4,0),IF(H362=MAX($A$2:$A$317),"",Lista!H362+1),H362),"")</f>
        <v/>
      </c>
      <c r="I363" s="22" t="str">
        <f t="shared" si="101"/>
        <v/>
      </c>
      <c r="J363" s="24" t="str">
        <f t="shared" si="102"/>
        <v/>
      </c>
      <c r="K363" s="25" t="str">
        <f t="shared" si="107"/>
        <v/>
      </c>
      <c r="L363" s="26" t="str">
        <f t="shared" si="108"/>
        <v/>
      </c>
      <c r="M363" s="26" t="str">
        <f t="shared" si="103"/>
        <v/>
      </c>
      <c r="N363" s="26" t="str">
        <f t="shared" si="104"/>
        <v/>
      </c>
      <c r="O363" s="26" t="str">
        <f t="shared" si="105"/>
        <v/>
      </c>
      <c r="P363" s="25" t="str">
        <f t="shared" si="106"/>
        <v/>
      </c>
      <c r="Q363" s="27" t="str">
        <f t="shared" si="109"/>
        <v/>
      </c>
      <c r="R363" s="26" t="str">
        <f t="shared" si="110"/>
        <v/>
      </c>
      <c r="S363" s="23" t="str">
        <f>IF(H363=1,VLOOKUP(COUNTIF($H$2:H363,H363),Specyfikacja!$A$5:$D$99,2,0),IF(H363=2,VLOOKUP(COUNTIF($H$2:H363,H363),Specyfikacja!$A$5:$K$99,9,0),""))</f>
        <v/>
      </c>
      <c r="T363" s="23" t="str">
        <f>IF(H363=1,VLOOKUP(COUNTIF($H$2:H363,H363),Specyfikacja!$A$5:$D$99,3,0),IF(H363=2,VLOOKUP(COUNTIF($H$2:H363,H363),Specyfikacja!$A$5:$K$99,10,0),""))</f>
        <v/>
      </c>
      <c r="U363" s="23" t="str">
        <f>SUBSTITUTE(SUBSTITUTE(IF(H363=1,VLOOKUP(COUNTIF($H$2:H363,H363),Specyfikacja!$A$5:$D$99,4,0),IF(H363=2,VLOOKUP(COUNTIF($H$2:H363,H363),Specyfikacja!$A$5:$K$99,11,0),"")),"Tak","YES"),"Nie","NO")</f>
        <v/>
      </c>
    </row>
    <row r="364" spans="1:21">
      <c r="A364" s="13"/>
      <c r="B364" s="13"/>
      <c r="C364" s="13"/>
      <c r="D364" s="13"/>
      <c r="H364" s="24" t="str">
        <f>IFERROR(IF(COUNTIFS($H$1:H363,H363)&gt;=VLOOKUP(H363,$A$2:$D$309,4,0),IF(H363=MAX($A$2:$A$317),"",Lista!H363+1),H363),"")</f>
        <v/>
      </c>
      <c r="I364" s="22" t="str">
        <f t="shared" si="101"/>
        <v/>
      </c>
      <c r="J364" s="24" t="str">
        <f t="shared" si="102"/>
        <v/>
      </c>
      <c r="K364" s="25" t="str">
        <f t="shared" si="107"/>
        <v/>
      </c>
      <c r="L364" s="26" t="str">
        <f t="shared" si="108"/>
        <v/>
      </c>
      <c r="M364" s="26" t="str">
        <f t="shared" si="103"/>
        <v/>
      </c>
      <c r="N364" s="26" t="str">
        <f t="shared" si="104"/>
        <v/>
      </c>
      <c r="O364" s="26" t="str">
        <f t="shared" si="105"/>
        <v/>
      </c>
      <c r="P364" s="25" t="str">
        <f t="shared" si="106"/>
        <v/>
      </c>
      <c r="Q364" s="27" t="str">
        <f t="shared" si="109"/>
        <v/>
      </c>
      <c r="R364" s="26" t="str">
        <f t="shared" si="110"/>
        <v/>
      </c>
      <c r="S364" s="23" t="str">
        <f>IF(H364=1,VLOOKUP(COUNTIF($H$2:H364,H364),Specyfikacja!$A$5:$D$99,2,0),IF(H364=2,VLOOKUP(COUNTIF($H$2:H364,H364),Specyfikacja!$A$5:$K$99,9,0),""))</f>
        <v/>
      </c>
      <c r="T364" s="23" t="str">
        <f>IF(H364=1,VLOOKUP(COUNTIF($H$2:H364,H364),Specyfikacja!$A$5:$D$99,3,0),IF(H364=2,VLOOKUP(COUNTIF($H$2:H364,H364),Specyfikacja!$A$5:$K$99,10,0),""))</f>
        <v/>
      </c>
      <c r="U364" s="23" t="str">
        <f>SUBSTITUTE(SUBSTITUTE(IF(H364=1,VLOOKUP(COUNTIF($H$2:H364,H364),Specyfikacja!$A$5:$D$99,4,0),IF(H364=2,VLOOKUP(COUNTIF($H$2:H364,H364),Specyfikacja!$A$5:$K$99,11,0),"")),"Tak","YES"),"Nie","NO")</f>
        <v/>
      </c>
    </row>
    <row r="365" spans="1:21">
      <c r="A365" s="13"/>
      <c r="B365" s="13"/>
      <c r="C365" s="13"/>
      <c r="D365" s="13"/>
      <c r="H365" s="24" t="str">
        <f>IFERROR(IF(COUNTIFS($H$1:H364,H364)&gt;=VLOOKUP(H364,$A$2:$D$309,4,0),IF(H364=MAX($A$2:$A$317),"",Lista!H364+1),H364),"")</f>
        <v/>
      </c>
      <c r="I365" s="22" t="str">
        <f t="shared" si="101"/>
        <v/>
      </c>
      <c r="J365" s="24" t="str">
        <f t="shared" si="102"/>
        <v/>
      </c>
      <c r="K365" s="25" t="str">
        <f t="shared" si="107"/>
        <v/>
      </c>
      <c r="L365" s="26" t="str">
        <f t="shared" si="108"/>
        <v/>
      </c>
      <c r="M365" s="26" t="str">
        <f t="shared" si="103"/>
        <v/>
      </c>
      <c r="N365" s="26" t="str">
        <f t="shared" si="104"/>
        <v/>
      </c>
      <c r="O365" s="26" t="str">
        <f t="shared" si="105"/>
        <v/>
      </c>
      <c r="P365" s="25" t="str">
        <f t="shared" si="106"/>
        <v/>
      </c>
      <c r="Q365" s="27" t="str">
        <f t="shared" si="109"/>
        <v/>
      </c>
      <c r="R365" s="26" t="str">
        <f t="shared" si="110"/>
        <v/>
      </c>
      <c r="S365" s="23" t="str">
        <f>IF(H365=1,VLOOKUP(COUNTIF($H$2:H365,H365),Specyfikacja!$A$5:$D$99,2,0),IF(H365=2,VLOOKUP(COUNTIF($H$2:H365,H365),Specyfikacja!$A$5:$K$99,9,0),""))</f>
        <v/>
      </c>
      <c r="T365" s="23" t="str">
        <f>IF(H365=1,VLOOKUP(COUNTIF($H$2:H365,H365),Specyfikacja!$A$5:$D$99,3,0),IF(H365=2,VLOOKUP(COUNTIF($H$2:H365,H365),Specyfikacja!$A$5:$K$99,10,0),""))</f>
        <v/>
      </c>
      <c r="U365" s="23" t="str">
        <f>SUBSTITUTE(SUBSTITUTE(IF(H365=1,VLOOKUP(COUNTIF($H$2:H365,H365),Specyfikacja!$A$5:$D$99,4,0),IF(H365=2,VLOOKUP(COUNTIF($H$2:H365,H365),Specyfikacja!$A$5:$K$99,11,0),"")),"Tak","YES"),"Nie","NO")</f>
        <v/>
      </c>
    </row>
    <row r="366" spans="1:21">
      <c r="A366" s="13"/>
      <c r="B366" s="13"/>
      <c r="C366" s="13"/>
      <c r="D366" s="13"/>
      <c r="H366" s="24" t="str">
        <f>IFERROR(IF(COUNTIFS($H$1:H365,H365)&gt;=VLOOKUP(H365,$A$2:$D$309,4,0),IF(H365=MAX($A$2:$A$317),"",Lista!H365+1),H365),"")</f>
        <v/>
      </c>
      <c r="I366" s="22" t="str">
        <f t="shared" si="101"/>
        <v/>
      </c>
      <c r="J366" s="24" t="str">
        <f t="shared" si="102"/>
        <v/>
      </c>
      <c r="K366" s="25" t="str">
        <f t="shared" si="107"/>
        <v/>
      </c>
      <c r="L366" s="26" t="str">
        <f t="shared" si="108"/>
        <v/>
      </c>
      <c r="M366" s="26" t="str">
        <f t="shared" si="103"/>
        <v/>
      </c>
      <c r="N366" s="26" t="str">
        <f t="shared" si="104"/>
        <v/>
      </c>
      <c r="O366" s="26" t="str">
        <f t="shared" si="105"/>
        <v/>
      </c>
      <c r="P366" s="25" t="str">
        <f t="shared" si="106"/>
        <v/>
      </c>
      <c r="Q366" s="27" t="str">
        <f t="shared" si="109"/>
        <v/>
      </c>
      <c r="R366" s="26" t="str">
        <f t="shared" si="110"/>
        <v/>
      </c>
      <c r="S366" s="23" t="str">
        <f>IF(H366=1,VLOOKUP(COUNTIF($H$2:H366,H366),Specyfikacja!$A$5:$D$99,2,0),IF(H366=2,VLOOKUP(COUNTIF($H$2:H366,H366),Specyfikacja!$A$5:$K$99,9,0),""))</f>
        <v/>
      </c>
      <c r="T366" s="23" t="str">
        <f>IF(H366=1,VLOOKUP(COUNTIF($H$2:H366,H366),Specyfikacja!$A$5:$D$99,3,0),IF(H366=2,VLOOKUP(COUNTIF($H$2:H366,H366),Specyfikacja!$A$5:$K$99,10,0),""))</f>
        <v/>
      </c>
      <c r="U366" s="23" t="str">
        <f>SUBSTITUTE(SUBSTITUTE(IF(H366=1,VLOOKUP(COUNTIF($H$2:H366,H366),Specyfikacja!$A$5:$D$99,4,0),IF(H366=2,VLOOKUP(COUNTIF($H$2:H366,H366),Specyfikacja!$A$5:$K$99,11,0),"")),"Tak","YES"),"Nie","NO")</f>
        <v/>
      </c>
    </row>
    <row r="367" spans="1:21">
      <c r="A367" s="13"/>
      <c r="B367" s="13"/>
      <c r="C367" s="13"/>
      <c r="D367" s="13"/>
      <c r="H367" s="24" t="str">
        <f>IFERROR(IF(COUNTIFS($H$1:H366,H366)&gt;=VLOOKUP(H366,$A$2:$D$309,4,0),IF(H366=MAX($A$2:$A$317),"",Lista!H366+1),H366),"")</f>
        <v/>
      </c>
      <c r="I367" s="22" t="str">
        <f t="shared" si="101"/>
        <v/>
      </c>
      <c r="J367" s="24" t="str">
        <f t="shared" si="102"/>
        <v/>
      </c>
      <c r="K367" s="25" t="str">
        <f t="shared" si="107"/>
        <v/>
      </c>
      <c r="L367" s="26" t="str">
        <f t="shared" si="108"/>
        <v/>
      </c>
      <c r="M367" s="26" t="str">
        <f t="shared" si="103"/>
        <v/>
      </c>
      <c r="N367" s="26" t="str">
        <f t="shared" si="104"/>
        <v/>
      </c>
      <c r="O367" s="26" t="str">
        <f t="shared" si="105"/>
        <v/>
      </c>
      <c r="P367" s="25" t="str">
        <f t="shared" si="106"/>
        <v/>
      </c>
      <c r="Q367" s="27" t="str">
        <f t="shared" si="109"/>
        <v/>
      </c>
      <c r="R367" s="26" t="str">
        <f t="shared" si="110"/>
        <v/>
      </c>
      <c r="S367" s="23" t="str">
        <f>IF(H367=1,VLOOKUP(COUNTIF($H$2:H367,H367),Specyfikacja!$A$5:$D$99,2,0),IF(H367=2,VLOOKUP(COUNTIF($H$2:H367,H367),Specyfikacja!$A$5:$K$99,9,0),""))</f>
        <v/>
      </c>
      <c r="T367" s="23" t="str">
        <f>IF(H367=1,VLOOKUP(COUNTIF($H$2:H367,H367),Specyfikacja!$A$5:$D$99,3,0),IF(H367=2,VLOOKUP(COUNTIF($H$2:H367,H367),Specyfikacja!$A$5:$K$99,10,0),""))</f>
        <v/>
      </c>
      <c r="U367" s="23" t="str">
        <f>SUBSTITUTE(SUBSTITUTE(IF(H367=1,VLOOKUP(COUNTIF($H$2:H367,H367),Specyfikacja!$A$5:$D$99,4,0),IF(H367=2,VLOOKUP(COUNTIF($H$2:H367,H367),Specyfikacja!$A$5:$K$99,11,0),"")),"Tak","YES"),"Nie","NO")</f>
        <v/>
      </c>
    </row>
    <row r="368" spans="1:21">
      <c r="A368" s="13"/>
      <c r="B368" s="13"/>
      <c r="C368" s="13"/>
      <c r="D368" s="13"/>
      <c r="H368" s="24" t="str">
        <f>IFERROR(IF(COUNTIFS($H$1:H367,H367)&gt;=VLOOKUP(H367,$A$2:$D$309,4,0),IF(H367=MAX($A$2:$A$317),"",Lista!H367+1),H367),"")</f>
        <v/>
      </c>
      <c r="I368" s="22" t="str">
        <f t="shared" si="101"/>
        <v/>
      </c>
      <c r="J368" s="24" t="str">
        <f t="shared" si="102"/>
        <v/>
      </c>
      <c r="K368" s="25" t="str">
        <f t="shared" si="107"/>
        <v/>
      </c>
      <c r="L368" s="26" t="str">
        <f t="shared" si="108"/>
        <v/>
      </c>
      <c r="M368" s="26" t="str">
        <f t="shared" si="103"/>
        <v/>
      </c>
      <c r="N368" s="26" t="str">
        <f t="shared" si="104"/>
        <v/>
      </c>
      <c r="O368" s="26" t="str">
        <f t="shared" si="105"/>
        <v/>
      </c>
      <c r="P368" s="25" t="str">
        <f t="shared" si="106"/>
        <v/>
      </c>
      <c r="Q368" s="27" t="str">
        <f t="shared" si="109"/>
        <v/>
      </c>
      <c r="R368" s="26" t="str">
        <f t="shared" si="110"/>
        <v/>
      </c>
      <c r="S368" s="23" t="str">
        <f>IF(H368=1,VLOOKUP(COUNTIF($H$2:H368,H368),Specyfikacja!$A$5:$D$99,2,0),IF(H368=2,VLOOKUP(COUNTIF($H$2:H368,H368),Specyfikacja!$A$5:$K$99,9,0),""))</f>
        <v/>
      </c>
      <c r="T368" s="23" t="str">
        <f>IF(H368=1,VLOOKUP(COUNTIF($H$2:H368,H368),Specyfikacja!$A$5:$D$99,3,0),IF(H368=2,VLOOKUP(COUNTIF($H$2:H368,H368),Specyfikacja!$A$5:$K$99,10,0),""))</f>
        <v/>
      </c>
      <c r="U368" s="23" t="str">
        <f>SUBSTITUTE(SUBSTITUTE(IF(H368=1,VLOOKUP(COUNTIF($H$2:H368,H368),Specyfikacja!$A$5:$D$99,4,0),IF(H368=2,VLOOKUP(COUNTIF($H$2:H368,H368),Specyfikacja!$A$5:$K$99,11,0),"")),"Tak","YES"),"Nie","NO")</f>
        <v/>
      </c>
    </row>
    <row r="369" spans="1:21">
      <c r="A369" s="13"/>
      <c r="B369" s="13"/>
      <c r="C369" s="13"/>
      <c r="D369" s="13"/>
      <c r="H369" s="24" t="str">
        <f>IFERROR(IF(COUNTIFS($H$1:H368,H368)&gt;=VLOOKUP(H368,$A$2:$D$309,4,0),IF(H368=MAX($A$2:$A$317),"",Lista!H368+1),H368),"")</f>
        <v/>
      </c>
      <c r="I369" s="22" t="str">
        <f t="shared" si="101"/>
        <v/>
      </c>
      <c r="J369" s="24" t="str">
        <f t="shared" si="102"/>
        <v/>
      </c>
      <c r="K369" s="25" t="str">
        <f t="shared" si="107"/>
        <v/>
      </c>
      <c r="L369" s="26" t="str">
        <f t="shared" si="108"/>
        <v/>
      </c>
      <c r="M369" s="26" t="str">
        <f t="shared" si="103"/>
        <v/>
      </c>
      <c r="N369" s="26" t="str">
        <f t="shared" si="104"/>
        <v/>
      </c>
      <c r="O369" s="26" t="str">
        <f t="shared" si="105"/>
        <v/>
      </c>
      <c r="P369" s="25" t="str">
        <f t="shared" si="106"/>
        <v/>
      </c>
      <c r="Q369" s="27" t="str">
        <f t="shared" si="109"/>
        <v/>
      </c>
      <c r="R369" s="26" t="str">
        <f t="shared" si="110"/>
        <v/>
      </c>
      <c r="S369" s="23" t="str">
        <f>IF(H369=1,VLOOKUP(COUNTIF($H$2:H369,H369),Specyfikacja!$A$5:$D$99,2,0),IF(H369=2,VLOOKUP(COUNTIF($H$2:H369,H369),Specyfikacja!$A$5:$K$99,9,0),""))</f>
        <v/>
      </c>
      <c r="T369" s="23" t="str">
        <f>IF(H369=1,VLOOKUP(COUNTIF($H$2:H369,H369),Specyfikacja!$A$5:$D$99,3,0),IF(H369=2,VLOOKUP(COUNTIF($H$2:H369,H369),Specyfikacja!$A$5:$K$99,10,0),""))</f>
        <v/>
      </c>
      <c r="U369" s="23" t="str">
        <f>SUBSTITUTE(SUBSTITUTE(IF(H369=1,VLOOKUP(COUNTIF($H$2:H369,H369),Specyfikacja!$A$5:$D$99,4,0),IF(H369=2,VLOOKUP(COUNTIF($H$2:H369,H369),Specyfikacja!$A$5:$K$99,11,0),"")),"Tak","YES"),"Nie","NO")</f>
        <v/>
      </c>
    </row>
    <row r="370" spans="1:21">
      <c r="A370" s="13"/>
      <c r="B370" s="13"/>
      <c r="C370" s="13"/>
      <c r="D370" s="13"/>
      <c r="H370" s="24" t="str">
        <f>IFERROR(IF(COUNTIFS($H$1:H369,H369)&gt;=VLOOKUP(H369,$A$2:$D$309,4,0),IF(H369=MAX($A$2:$A$317),"",Lista!H369+1),H369),"")</f>
        <v/>
      </c>
      <c r="I370" s="22" t="str">
        <f t="shared" si="101"/>
        <v/>
      </c>
      <c r="J370" s="24" t="str">
        <f t="shared" si="102"/>
        <v/>
      </c>
      <c r="K370" s="25" t="str">
        <f t="shared" si="107"/>
        <v/>
      </c>
      <c r="L370" s="26" t="str">
        <f t="shared" si="108"/>
        <v/>
      </c>
      <c r="M370" s="26" t="str">
        <f t="shared" si="103"/>
        <v/>
      </c>
      <c r="N370" s="26" t="str">
        <f t="shared" si="104"/>
        <v/>
      </c>
      <c r="O370" s="26" t="str">
        <f t="shared" si="105"/>
        <v/>
      </c>
      <c r="P370" s="25" t="str">
        <f t="shared" si="106"/>
        <v/>
      </c>
      <c r="Q370" s="27" t="str">
        <f t="shared" si="109"/>
        <v/>
      </c>
      <c r="R370" s="26" t="str">
        <f t="shared" si="110"/>
        <v/>
      </c>
      <c r="S370" s="23" t="str">
        <f>IF(H370=1,VLOOKUP(COUNTIF($H$2:H370,H370),Specyfikacja!$A$5:$D$99,2,0),IF(H370=2,VLOOKUP(COUNTIF($H$2:H370,H370),Specyfikacja!$A$5:$K$99,9,0),""))</f>
        <v/>
      </c>
      <c r="T370" s="23" t="str">
        <f>IF(H370=1,VLOOKUP(COUNTIF($H$2:H370,H370),Specyfikacja!$A$5:$D$99,3,0),IF(H370=2,VLOOKUP(COUNTIF($H$2:H370,H370),Specyfikacja!$A$5:$K$99,10,0),""))</f>
        <v/>
      </c>
      <c r="U370" s="23" t="str">
        <f>SUBSTITUTE(SUBSTITUTE(IF(H370=1,VLOOKUP(COUNTIF($H$2:H370,H370),Specyfikacja!$A$5:$D$99,4,0),IF(H370=2,VLOOKUP(COUNTIF($H$2:H370,H370),Specyfikacja!$A$5:$K$99,11,0),"")),"Tak","YES"),"Nie","NO")</f>
        <v/>
      </c>
    </row>
    <row r="371" spans="1:21">
      <c r="A371" s="13"/>
      <c r="B371" s="13"/>
      <c r="C371" s="13"/>
      <c r="D371" s="13"/>
      <c r="H371" s="24" t="str">
        <f>IFERROR(IF(COUNTIFS($H$1:H370,H370)&gt;=VLOOKUP(H370,$A$2:$D$309,4,0),IF(H370=MAX($A$2:$A$317),"",Lista!H370+1),H370),"")</f>
        <v/>
      </c>
      <c r="I371" s="22" t="str">
        <f t="shared" si="101"/>
        <v/>
      </c>
      <c r="J371" s="24" t="str">
        <f t="shared" si="102"/>
        <v/>
      </c>
      <c r="K371" s="25" t="str">
        <f t="shared" si="107"/>
        <v/>
      </c>
      <c r="L371" s="26" t="str">
        <f t="shared" si="108"/>
        <v/>
      </c>
      <c r="M371" s="26" t="str">
        <f t="shared" si="103"/>
        <v/>
      </c>
      <c r="N371" s="26" t="str">
        <f t="shared" si="104"/>
        <v/>
      </c>
      <c r="O371" s="26" t="str">
        <f t="shared" si="105"/>
        <v/>
      </c>
      <c r="P371" s="25" t="str">
        <f t="shared" si="106"/>
        <v/>
      </c>
      <c r="Q371" s="27" t="str">
        <f t="shared" si="109"/>
        <v/>
      </c>
      <c r="R371" s="26" t="str">
        <f t="shared" si="110"/>
        <v/>
      </c>
      <c r="S371" s="23" t="str">
        <f>IF(H371=1,VLOOKUP(COUNTIF($H$2:H371,H371),Specyfikacja!$A$5:$D$99,2,0),IF(H371=2,VLOOKUP(COUNTIF($H$2:H371,H371),Specyfikacja!$A$5:$K$99,9,0),""))</f>
        <v/>
      </c>
      <c r="T371" s="23" t="str">
        <f>IF(H371=1,VLOOKUP(COUNTIF($H$2:H371,H371),Specyfikacja!$A$5:$D$99,3,0),IF(H371=2,VLOOKUP(COUNTIF($H$2:H371,H371),Specyfikacja!$A$5:$K$99,10,0),""))</f>
        <v/>
      </c>
      <c r="U371" s="23" t="str">
        <f>SUBSTITUTE(SUBSTITUTE(IF(H371=1,VLOOKUP(COUNTIF($H$2:H371,H371),Specyfikacja!$A$5:$D$99,4,0),IF(H371=2,VLOOKUP(COUNTIF($H$2:H371,H371),Specyfikacja!$A$5:$K$99,11,0),"")),"Tak","YES"),"Nie","NO")</f>
        <v/>
      </c>
    </row>
    <row r="372" spans="1:21">
      <c r="A372" s="13"/>
      <c r="B372" s="13"/>
      <c r="C372" s="13"/>
      <c r="D372" s="13"/>
      <c r="H372" s="24" t="str">
        <f>IFERROR(IF(COUNTIFS($H$1:H371,H371)&gt;=VLOOKUP(H371,$A$2:$D$309,4,0),IF(H371=MAX($A$2:$A$317),"",Lista!H371+1),H371),"")</f>
        <v/>
      </c>
      <c r="I372" s="22" t="str">
        <f t="shared" si="101"/>
        <v/>
      </c>
      <c r="J372" s="24" t="str">
        <f t="shared" si="102"/>
        <v/>
      </c>
      <c r="K372" s="25" t="str">
        <f t="shared" si="107"/>
        <v/>
      </c>
      <c r="L372" s="26" t="str">
        <f t="shared" si="108"/>
        <v/>
      </c>
      <c r="M372" s="26" t="str">
        <f t="shared" si="103"/>
        <v/>
      </c>
      <c r="N372" s="26" t="str">
        <f t="shared" si="104"/>
        <v/>
      </c>
      <c r="O372" s="26" t="str">
        <f t="shared" si="105"/>
        <v/>
      </c>
      <c r="P372" s="25" t="str">
        <f t="shared" si="106"/>
        <v/>
      </c>
      <c r="Q372" s="27" t="str">
        <f t="shared" si="109"/>
        <v/>
      </c>
      <c r="R372" s="26" t="str">
        <f t="shared" si="110"/>
        <v/>
      </c>
      <c r="S372" s="23" t="str">
        <f>IF(H372=1,VLOOKUP(COUNTIF($H$2:H372,H372),Specyfikacja!$A$5:$D$99,2,0),IF(H372=2,VLOOKUP(COUNTIF($H$2:H372,H372),Specyfikacja!$A$5:$K$99,9,0),""))</f>
        <v/>
      </c>
      <c r="T372" s="23" t="str">
        <f>IF(H372=1,VLOOKUP(COUNTIF($H$2:H372,H372),Specyfikacja!$A$5:$D$99,3,0),IF(H372=2,VLOOKUP(COUNTIF($H$2:H372,H372),Specyfikacja!$A$5:$K$99,10,0),""))</f>
        <v/>
      </c>
      <c r="U372" s="23" t="str">
        <f>SUBSTITUTE(SUBSTITUTE(IF(H372=1,VLOOKUP(COUNTIF($H$2:H372,H372),Specyfikacja!$A$5:$D$99,4,0),IF(H372=2,VLOOKUP(COUNTIF($H$2:H372,H372),Specyfikacja!$A$5:$K$99,11,0),"")),"Tak","YES"),"Nie","NO")</f>
        <v/>
      </c>
    </row>
    <row r="373" spans="1:21">
      <c r="A373" s="13"/>
      <c r="B373" s="13"/>
      <c r="C373" s="13"/>
      <c r="D373" s="13"/>
      <c r="H373" s="24" t="str">
        <f>IFERROR(IF(COUNTIFS($H$1:H372,H372)&gt;=VLOOKUP(H372,$A$2:$D$309,4,0),IF(H372=MAX($A$2:$A$317),"",Lista!H372+1),H372),"")</f>
        <v/>
      </c>
      <c r="I373" s="22" t="str">
        <f t="shared" si="101"/>
        <v/>
      </c>
      <c r="J373" s="24" t="str">
        <f t="shared" si="102"/>
        <v/>
      </c>
      <c r="K373" s="25" t="str">
        <f t="shared" si="107"/>
        <v/>
      </c>
      <c r="L373" s="26" t="str">
        <f t="shared" si="108"/>
        <v/>
      </c>
      <c r="M373" s="26" t="str">
        <f t="shared" si="103"/>
        <v/>
      </c>
      <c r="N373" s="26" t="str">
        <f t="shared" si="104"/>
        <v/>
      </c>
      <c r="O373" s="26" t="str">
        <f t="shared" si="105"/>
        <v/>
      </c>
      <c r="P373" s="25" t="str">
        <f t="shared" si="106"/>
        <v/>
      </c>
      <c r="Q373" s="27" t="str">
        <f t="shared" si="109"/>
        <v/>
      </c>
      <c r="R373" s="26" t="str">
        <f t="shared" si="110"/>
        <v/>
      </c>
      <c r="S373" s="23" t="str">
        <f>IF(H373=1,VLOOKUP(COUNTIF($H$2:H373,H373),Specyfikacja!$A$5:$D$99,2,0),IF(H373=2,VLOOKUP(COUNTIF($H$2:H373,H373),Specyfikacja!$A$5:$K$99,9,0),""))</f>
        <v/>
      </c>
      <c r="T373" s="23" t="str">
        <f>IF(H373=1,VLOOKUP(COUNTIF($H$2:H373,H373),Specyfikacja!$A$5:$D$99,3,0),IF(H373=2,VLOOKUP(COUNTIF($H$2:H373,H373),Specyfikacja!$A$5:$K$99,10,0),""))</f>
        <v/>
      </c>
      <c r="U373" s="23" t="str">
        <f>SUBSTITUTE(SUBSTITUTE(IF(H373=1,VLOOKUP(COUNTIF($H$2:H373,H373),Specyfikacja!$A$5:$D$99,4,0),IF(H373=2,VLOOKUP(COUNTIF($H$2:H373,H373),Specyfikacja!$A$5:$K$99,11,0),"")),"Tak","YES"),"Nie","NO")</f>
        <v/>
      </c>
    </row>
    <row r="374" spans="1:21">
      <c r="A374" s="13"/>
      <c r="B374" s="13"/>
      <c r="C374" s="13"/>
      <c r="D374" s="13"/>
      <c r="H374" s="24" t="str">
        <f>IFERROR(IF(COUNTIFS($H$1:H373,H373)&gt;=VLOOKUP(H373,$A$2:$D$309,4,0),IF(H373=MAX($A$2:$A$317),"",Lista!H373+1),H373),"")</f>
        <v/>
      </c>
      <c r="I374" s="22" t="str">
        <f t="shared" si="101"/>
        <v/>
      </c>
      <c r="J374" s="24" t="str">
        <f t="shared" si="102"/>
        <v/>
      </c>
      <c r="K374" s="25" t="str">
        <f t="shared" si="107"/>
        <v/>
      </c>
      <c r="L374" s="26" t="str">
        <f t="shared" si="108"/>
        <v/>
      </c>
      <c r="M374" s="26" t="str">
        <f t="shared" si="103"/>
        <v/>
      </c>
      <c r="N374" s="26" t="str">
        <f t="shared" si="104"/>
        <v/>
      </c>
      <c r="O374" s="26" t="str">
        <f t="shared" si="105"/>
        <v/>
      </c>
      <c r="P374" s="25" t="str">
        <f t="shared" si="106"/>
        <v/>
      </c>
      <c r="Q374" s="27" t="str">
        <f t="shared" si="109"/>
        <v/>
      </c>
      <c r="R374" s="26" t="str">
        <f t="shared" si="110"/>
        <v/>
      </c>
      <c r="S374" s="23" t="str">
        <f>IF(H374=1,VLOOKUP(COUNTIF($H$2:H374,H374),Specyfikacja!$A$5:$D$99,2,0),IF(H374=2,VLOOKUP(COUNTIF($H$2:H374,H374),Specyfikacja!$A$5:$K$99,9,0),""))</f>
        <v/>
      </c>
      <c r="T374" s="23" t="str">
        <f>IF(H374=1,VLOOKUP(COUNTIF($H$2:H374,H374),Specyfikacja!$A$5:$D$99,3,0),IF(H374=2,VLOOKUP(COUNTIF($H$2:H374,H374),Specyfikacja!$A$5:$K$99,10,0),""))</f>
        <v/>
      </c>
      <c r="U374" s="23" t="str">
        <f>SUBSTITUTE(SUBSTITUTE(IF(H374=1,VLOOKUP(COUNTIF($H$2:H374,H374),Specyfikacja!$A$5:$D$99,4,0),IF(H374=2,VLOOKUP(COUNTIF($H$2:H374,H374),Specyfikacja!$A$5:$K$99,11,0),"")),"Tak","YES"),"Nie","NO")</f>
        <v/>
      </c>
    </row>
    <row r="375" spans="1:21">
      <c r="A375" s="13"/>
      <c r="B375" s="13"/>
      <c r="C375" s="13"/>
      <c r="D375" s="13"/>
      <c r="H375" s="24" t="str">
        <f>IFERROR(IF(COUNTIFS($H$1:H374,H374)&gt;=VLOOKUP(H374,$A$2:$D$309,4,0),IF(H374=MAX($A$2:$A$317),"",Lista!H374+1),H374),"")</f>
        <v/>
      </c>
      <c r="I375" s="22" t="str">
        <f t="shared" si="101"/>
        <v/>
      </c>
      <c r="J375" s="24" t="str">
        <f t="shared" si="102"/>
        <v/>
      </c>
      <c r="K375" s="25" t="str">
        <f t="shared" si="107"/>
        <v/>
      </c>
      <c r="L375" s="26" t="str">
        <f t="shared" si="108"/>
        <v/>
      </c>
      <c r="M375" s="26" t="str">
        <f t="shared" si="103"/>
        <v/>
      </c>
      <c r="N375" s="26" t="str">
        <f t="shared" si="104"/>
        <v/>
      </c>
      <c r="O375" s="26" t="str">
        <f t="shared" si="105"/>
        <v/>
      </c>
      <c r="P375" s="25" t="str">
        <f t="shared" si="106"/>
        <v/>
      </c>
      <c r="Q375" s="27" t="str">
        <f t="shared" si="109"/>
        <v/>
      </c>
      <c r="R375" s="26" t="str">
        <f t="shared" si="110"/>
        <v/>
      </c>
      <c r="S375" s="23" t="str">
        <f>IF(H375=1,VLOOKUP(COUNTIF($H$2:H375,H375),Specyfikacja!$A$5:$D$99,2,0),IF(H375=2,VLOOKUP(COUNTIF($H$2:H375,H375),Specyfikacja!$A$5:$K$99,9,0),""))</f>
        <v/>
      </c>
      <c r="T375" s="23" t="str">
        <f>IF(H375=1,VLOOKUP(COUNTIF($H$2:H375,H375),Specyfikacja!$A$5:$D$99,3,0),IF(H375=2,VLOOKUP(COUNTIF($H$2:H375,H375),Specyfikacja!$A$5:$K$99,10,0),""))</f>
        <v/>
      </c>
      <c r="U375" s="23" t="str">
        <f>SUBSTITUTE(SUBSTITUTE(IF(H375=1,VLOOKUP(COUNTIF($H$2:H375,H375),Specyfikacja!$A$5:$D$99,4,0),IF(H375=2,VLOOKUP(COUNTIF($H$2:H375,H375),Specyfikacja!$A$5:$K$99,11,0),"")),"Tak","YES"),"Nie","NO")</f>
        <v/>
      </c>
    </row>
    <row r="376" spans="1:21">
      <c r="A376" s="13"/>
      <c r="B376" s="13"/>
      <c r="C376" s="13"/>
      <c r="D376" s="13"/>
      <c r="H376" s="24" t="str">
        <f>IFERROR(IF(COUNTIFS($H$1:H375,H375)&gt;=VLOOKUP(H375,$A$2:$D$309,4,0),IF(H375=MAX($A$2:$A$317),"",Lista!H375+1),H375),"")</f>
        <v/>
      </c>
      <c r="I376" s="22" t="str">
        <f t="shared" si="101"/>
        <v/>
      </c>
      <c r="J376" s="24" t="str">
        <f t="shared" si="102"/>
        <v/>
      </c>
      <c r="K376" s="25" t="str">
        <f t="shared" si="107"/>
        <v/>
      </c>
      <c r="L376" s="26" t="str">
        <f t="shared" si="108"/>
        <v/>
      </c>
      <c r="M376" s="26" t="str">
        <f t="shared" si="103"/>
        <v/>
      </c>
      <c r="N376" s="26" t="str">
        <f t="shared" si="104"/>
        <v/>
      </c>
      <c r="O376" s="26" t="str">
        <f t="shared" si="105"/>
        <v/>
      </c>
      <c r="P376" s="25" t="str">
        <f t="shared" si="106"/>
        <v/>
      </c>
      <c r="Q376" s="27" t="str">
        <f t="shared" si="109"/>
        <v/>
      </c>
      <c r="R376" s="26" t="str">
        <f t="shared" si="110"/>
        <v/>
      </c>
      <c r="S376" s="23" t="str">
        <f>IF(H376=1,VLOOKUP(COUNTIF($H$2:H376,H376),Specyfikacja!$A$5:$D$99,2,0),IF(H376=2,VLOOKUP(COUNTIF($H$2:H376,H376),Specyfikacja!$A$5:$K$99,9,0),""))</f>
        <v/>
      </c>
      <c r="T376" s="23" t="str">
        <f>IF(H376=1,VLOOKUP(COUNTIF($H$2:H376,H376),Specyfikacja!$A$5:$D$99,3,0),IF(H376=2,VLOOKUP(COUNTIF($H$2:H376,H376),Specyfikacja!$A$5:$K$99,10,0),""))</f>
        <v/>
      </c>
      <c r="U376" s="23" t="str">
        <f>SUBSTITUTE(SUBSTITUTE(IF(H376=1,VLOOKUP(COUNTIF($H$2:H376,H376),Specyfikacja!$A$5:$D$99,4,0),IF(H376=2,VLOOKUP(COUNTIF($H$2:H376,H376),Specyfikacja!$A$5:$K$99,11,0),"")),"Tak","YES"),"Nie","NO")</f>
        <v/>
      </c>
    </row>
    <row r="377" spans="1:21">
      <c r="A377" s="13"/>
      <c r="B377" s="13"/>
      <c r="C377" s="13"/>
      <c r="D377" s="13"/>
      <c r="H377" s="24" t="str">
        <f>IFERROR(IF(COUNTIFS($H$1:H376,H376)&gt;=VLOOKUP(H376,$A$2:$D$309,4,0),IF(H376=MAX($A$2:$A$317),"",Lista!H376+1),H376),"")</f>
        <v/>
      </c>
      <c r="I377" s="22" t="str">
        <f t="shared" si="101"/>
        <v/>
      </c>
      <c r="J377" s="24" t="str">
        <f t="shared" si="102"/>
        <v/>
      </c>
      <c r="K377" s="25" t="str">
        <f t="shared" si="107"/>
        <v/>
      </c>
      <c r="L377" s="26" t="str">
        <f t="shared" si="108"/>
        <v/>
      </c>
      <c r="M377" s="26" t="str">
        <f t="shared" si="103"/>
        <v/>
      </c>
      <c r="N377" s="26" t="str">
        <f t="shared" si="104"/>
        <v/>
      </c>
      <c r="O377" s="26" t="str">
        <f t="shared" si="105"/>
        <v/>
      </c>
      <c r="P377" s="25" t="str">
        <f t="shared" si="106"/>
        <v/>
      </c>
      <c r="Q377" s="27" t="str">
        <f t="shared" si="109"/>
        <v/>
      </c>
      <c r="R377" s="26" t="str">
        <f t="shared" si="110"/>
        <v/>
      </c>
      <c r="S377" s="23" t="str">
        <f>IF(H377=1,VLOOKUP(COUNTIF($H$2:H377,H377),Specyfikacja!$A$5:$D$99,2,0),IF(H377=2,VLOOKUP(COUNTIF($H$2:H377,H377),Specyfikacja!$A$5:$K$99,9,0),""))</f>
        <v/>
      </c>
      <c r="T377" s="23" t="str">
        <f>IF(H377=1,VLOOKUP(COUNTIF($H$2:H377,H377),Specyfikacja!$A$5:$D$99,3,0),IF(H377=2,VLOOKUP(COUNTIF($H$2:H377,H377),Specyfikacja!$A$5:$K$99,10,0),""))</f>
        <v/>
      </c>
      <c r="U377" s="23" t="str">
        <f>SUBSTITUTE(SUBSTITUTE(IF(H377=1,VLOOKUP(COUNTIF($H$2:H377,H377),Specyfikacja!$A$5:$D$99,4,0),IF(H377=2,VLOOKUP(COUNTIF($H$2:H377,H377),Specyfikacja!$A$5:$K$99,11,0),"")),"Tak","YES"),"Nie","NO")</f>
        <v/>
      </c>
    </row>
    <row r="378" spans="1:21">
      <c r="A378" s="13"/>
      <c r="B378" s="13"/>
      <c r="C378" s="13"/>
      <c r="D378" s="13"/>
      <c r="H378" s="24" t="str">
        <f>IFERROR(IF(COUNTIFS($H$1:H377,H377)&gt;=VLOOKUP(H377,$A$2:$D$309,4,0),IF(H377=MAX($A$2:$A$317),"",Lista!H377+1),H377),"")</f>
        <v/>
      </c>
      <c r="I378" s="22" t="str">
        <f t="shared" si="101"/>
        <v/>
      </c>
      <c r="J378" s="24" t="str">
        <f t="shared" si="102"/>
        <v/>
      </c>
      <c r="K378" s="25" t="str">
        <f t="shared" si="107"/>
        <v/>
      </c>
      <c r="L378" s="26" t="str">
        <f t="shared" si="108"/>
        <v/>
      </c>
      <c r="M378" s="26" t="str">
        <f t="shared" si="103"/>
        <v/>
      </c>
      <c r="N378" s="26" t="str">
        <f t="shared" si="104"/>
        <v/>
      </c>
      <c r="O378" s="26" t="str">
        <f t="shared" si="105"/>
        <v/>
      </c>
      <c r="P378" s="25" t="str">
        <f t="shared" si="106"/>
        <v/>
      </c>
      <c r="Q378" s="27" t="str">
        <f t="shared" si="109"/>
        <v/>
      </c>
      <c r="R378" s="26" t="str">
        <f t="shared" si="110"/>
        <v/>
      </c>
      <c r="S378" s="23" t="str">
        <f>IF(H378=1,VLOOKUP(COUNTIF($H$2:H378,H378),Specyfikacja!$A$5:$D$99,2,0),IF(H378=2,VLOOKUP(COUNTIF($H$2:H378,H378),Specyfikacja!$A$5:$K$99,9,0),""))</f>
        <v/>
      </c>
      <c r="T378" s="23" t="str">
        <f>IF(H378=1,VLOOKUP(COUNTIF($H$2:H378,H378),Specyfikacja!$A$5:$D$99,3,0),IF(H378=2,VLOOKUP(COUNTIF($H$2:H378,H378),Specyfikacja!$A$5:$K$99,10,0),""))</f>
        <v/>
      </c>
      <c r="U378" s="23" t="str">
        <f>SUBSTITUTE(SUBSTITUTE(IF(H378=1,VLOOKUP(COUNTIF($H$2:H378,H378),Specyfikacja!$A$5:$D$99,4,0),IF(H378=2,VLOOKUP(COUNTIF($H$2:H378,H378),Specyfikacja!$A$5:$K$99,11,0),"")),"Tak","YES"),"Nie","NO")</f>
        <v/>
      </c>
    </row>
    <row r="379" spans="1:21">
      <c r="A379" s="13"/>
      <c r="B379" s="13"/>
      <c r="C379" s="13"/>
      <c r="D379" s="13"/>
      <c r="H379" s="24" t="str">
        <f>IFERROR(IF(COUNTIFS($H$1:H378,H378)&gt;=VLOOKUP(H378,$A$2:$D$309,4,0),IF(H378=MAX($A$2:$A$317),"",Lista!H378+1),H378),"")</f>
        <v/>
      </c>
      <c r="I379" s="22" t="str">
        <f t="shared" si="101"/>
        <v/>
      </c>
      <c r="J379" s="24" t="str">
        <f t="shared" si="102"/>
        <v/>
      </c>
      <c r="K379" s="25" t="str">
        <f t="shared" si="107"/>
        <v/>
      </c>
      <c r="L379" s="26" t="str">
        <f t="shared" si="108"/>
        <v/>
      </c>
      <c r="M379" s="26" t="str">
        <f t="shared" si="103"/>
        <v/>
      </c>
      <c r="N379" s="26" t="str">
        <f t="shared" si="104"/>
        <v/>
      </c>
      <c r="O379" s="26" t="str">
        <f t="shared" si="105"/>
        <v/>
      </c>
      <c r="P379" s="25" t="str">
        <f t="shared" si="106"/>
        <v/>
      </c>
      <c r="Q379" s="27" t="str">
        <f t="shared" si="109"/>
        <v/>
      </c>
      <c r="R379" s="26" t="str">
        <f t="shared" si="110"/>
        <v/>
      </c>
      <c r="S379" s="23" t="str">
        <f>IF(H379=1,VLOOKUP(COUNTIF($H$2:H379,H379),Specyfikacja!$A$5:$D$99,2,0),IF(H379=2,VLOOKUP(COUNTIF($H$2:H379,H379),Specyfikacja!$A$5:$K$99,9,0),""))</f>
        <v/>
      </c>
      <c r="T379" s="23" t="str">
        <f>IF(H379=1,VLOOKUP(COUNTIF($H$2:H379,H379),Specyfikacja!$A$5:$D$99,3,0),IF(H379=2,VLOOKUP(COUNTIF($H$2:H379,H379),Specyfikacja!$A$5:$K$99,10,0),""))</f>
        <v/>
      </c>
      <c r="U379" s="23" t="str">
        <f>SUBSTITUTE(SUBSTITUTE(IF(H379=1,VLOOKUP(COUNTIF($H$2:H379,H379),Specyfikacja!$A$5:$D$99,4,0),IF(H379=2,VLOOKUP(COUNTIF($H$2:H379,H379),Specyfikacja!$A$5:$K$99,11,0),"")),"Tak","YES"),"Nie","NO")</f>
        <v/>
      </c>
    </row>
    <row r="380" spans="1:21">
      <c r="A380" s="13"/>
      <c r="B380" s="13"/>
      <c r="C380" s="13"/>
      <c r="D380" s="13"/>
      <c r="H380" s="24" t="str">
        <f>IFERROR(IF(COUNTIFS($H$1:H379,H379)&gt;=VLOOKUP(H379,$A$2:$D$309,4,0),IF(H379=MAX($A$2:$A$317),"",Lista!H379+1),H379),"")</f>
        <v/>
      </c>
      <c r="I380" s="22" t="str">
        <f t="shared" si="101"/>
        <v/>
      </c>
      <c r="J380" s="24" t="str">
        <f t="shared" si="102"/>
        <v/>
      </c>
      <c r="K380" s="25" t="str">
        <f t="shared" si="107"/>
        <v/>
      </c>
      <c r="L380" s="26" t="str">
        <f t="shared" si="108"/>
        <v/>
      </c>
      <c r="M380" s="26" t="str">
        <f t="shared" si="103"/>
        <v/>
      </c>
      <c r="N380" s="26" t="str">
        <f t="shared" si="104"/>
        <v/>
      </c>
      <c r="O380" s="26" t="str">
        <f t="shared" si="105"/>
        <v/>
      </c>
      <c r="P380" s="25" t="str">
        <f t="shared" si="106"/>
        <v/>
      </c>
      <c r="Q380" s="27" t="str">
        <f t="shared" si="109"/>
        <v/>
      </c>
      <c r="R380" s="26" t="str">
        <f t="shared" si="110"/>
        <v/>
      </c>
      <c r="S380" s="23" t="str">
        <f>IF(H380=1,VLOOKUP(COUNTIF($H$2:H380,H380),Specyfikacja!$A$5:$D$99,2,0),IF(H380=2,VLOOKUP(COUNTIF($H$2:H380,H380),Specyfikacja!$A$5:$K$99,9,0),""))</f>
        <v/>
      </c>
      <c r="T380" s="23" t="str">
        <f>IF(H380=1,VLOOKUP(COUNTIF($H$2:H380,H380),Specyfikacja!$A$5:$D$99,3,0),IF(H380=2,VLOOKUP(COUNTIF($H$2:H380,H380),Specyfikacja!$A$5:$K$99,10,0),""))</f>
        <v/>
      </c>
      <c r="U380" s="23" t="str">
        <f>SUBSTITUTE(SUBSTITUTE(IF(H380=1,VLOOKUP(COUNTIF($H$2:H380,H380),Specyfikacja!$A$5:$D$99,4,0),IF(H380=2,VLOOKUP(COUNTIF($H$2:H380,H380),Specyfikacja!$A$5:$K$99,11,0),"")),"Tak","YES"),"Nie","NO")</f>
        <v/>
      </c>
    </row>
    <row r="381" spans="1:21">
      <c r="A381" s="13"/>
      <c r="B381" s="13"/>
      <c r="C381" s="13"/>
      <c r="D381" s="13"/>
      <c r="H381" s="24" t="str">
        <f>IFERROR(IF(COUNTIFS($H$1:H380,H380)&gt;=VLOOKUP(H380,$A$2:$D$309,4,0),IF(H380=MAX($A$2:$A$317),"",Lista!H380+1),H380),"")</f>
        <v/>
      </c>
      <c r="I381" s="22" t="str">
        <f t="shared" si="101"/>
        <v/>
      </c>
      <c r="J381" s="24" t="str">
        <f t="shared" si="102"/>
        <v/>
      </c>
      <c r="K381" s="25" t="str">
        <f t="shared" si="107"/>
        <v/>
      </c>
      <c r="L381" s="26" t="str">
        <f t="shared" si="108"/>
        <v/>
      </c>
      <c r="M381" s="26" t="str">
        <f t="shared" si="103"/>
        <v/>
      </c>
      <c r="N381" s="26" t="str">
        <f t="shared" si="104"/>
        <v/>
      </c>
      <c r="O381" s="26" t="str">
        <f t="shared" si="105"/>
        <v/>
      </c>
      <c r="P381" s="25" t="str">
        <f t="shared" si="106"/>
        <v/>
      </c>
      <c r="Q381" s="27" t="str">
        <f t="shared" si="109"/>
        <v/>
      </c>
      <c r="R381" s="26" t="str">
        <f t="shared" si="110"/>
        <v/>
      </c>
      <c r="S381" s="23" t="str">
        <f>IF(H381=1,VLOOKUP(COUNTIF($H$2:H381,H381),Specyfikacja!$A$5:$D$99,2,0),IF(H381=2,VLOOKUP(COUNTIF($H$2:H381,H381),Specyfikacja!$A$5:$K$99,9,0),""))</f>
        <v/>
      </c>
      <c r="T381" s="23" t="str">
        <f>IF(H381=1,VLOOKUP(COUNTIF($H$2:H381,H381),Specyfikacja!$A$5:$D$99,3,0),IF(H381=2,VLOOKUP(COUNTIF($H$2:H381,H381),Specyfikacja!$A$5:$K$99,10,0),""))</f>
        <v/>
      </c>
      <c r="U381" s="23" t="str">
        <f>SUBSTITUTE(SUBSTITUTE(IF(H381=1,VLOOKUP(COUNTIF($H$2:H381,H381),Specyfikacja!$A$5:$D$99,4,0),IF(H381=2,VLOOKUP(COUNTIF($H$2:H381,H381),Specyfikacja!$A$5:$K$99,11,0),"")),"Tak","YES"),"Nie","NO")</f>
        <v/>
      </c>
    </row>
    <row r="382" spans="1:21">
      <c r="A382" s="13"/>
      <c r="B382" s="13"/>
      <c r="C382" s="13"/>
      <c r="D382" s="13"/>
      <c r="H382" s="24" t="str">
        <f>IFERROR(IF(COUNTIFS($H$1:H381,H381)&gt;=VLOOKUP(H381,$A$2:$D$309,4,0),IF(H381=MAX($A$2:$A$317),"",Lista!H381+1),H381),"")</f>
        <v/>
      </c>
      <c r="I382" s="22" t="str">
        <f t="shared" si="101"/>
        <v/>
      </c>
      <c r="J382" s="24" t="str">
        <f t="shared" si="102"/>
        <v/>
      </c>
      <c r="K382" s="25" t="str">
        <f t="shared" si="107"/>
        <v/>
      </c>
      <c r="L382" s="26" t="str">
        <f t="shared" si="108"/>
        <v/>
      </c>
      <c r="M382" s="26" t="str">
        <f t="shared" si="103"/>
        <v/>
      </c>
      <c r="N382" s="26" t="str">
        <f t="shared" si="104"/>
        <v/>
      </c>
      <c r="O382" s="26" t="str">
        <f t="shared" si="105"/>
        <v/>
      </c>
      <c r="P382" s="25" t="str">
        <f t="shared" si="106"/>
        <v/>
      </c>
      <c r="Q382" s="27" t="str">
        <f t="shared" si="109"/>
        <v/>
      </c>
      <c r="R382" s="26" t="str">
        <f t="shared" si="110"/>
        <v/>
      </c>
      <c r="S382" s="23" t="str">
        <f>IF(H382=1,VLOOKUP(COUNTIF($H$2:H382,H382),Specyfikacja!$A$5:$D$99,2,0),IF(H382=2,VLOOKUP(COUNTIF($H$2:H382,H382),Specyfikacja!$A$5:$K$99,9,0),""))</f>
        <v/>
      </c>
      <c r="T382" s="23" t="str">
        <f>IF(H382=1,VLOOKUP(COUNTIF($H$2:H382,H382),Specyfikacja!$A$5:$D$99,3,0),IF(H382=2,VLOOKUP(COUNTIF($H$2:H382,H382),Specyfikacja!$A$5:$K$99,10,0),""))</f>
        <v/>
      </c>
      <c r="U382" s="23" t="str">
        <f>SUBSTITUTE(SUBSTITUTE(IF(H382=1,VLOOKUP(COUNTIF($H$2:H382,H382),Specyfikacja!$A$5:$D$99,4,0),IF(H382=2,VLOOKUP(COUNTIF($H$2:H382,H382),Specyfikacja!$A$5:$K$99,11,0),"")),"Tak","YES"),"Nie","NO")</f>
        <v/>
      </c>
    </row>
    <row r="383" spans="1:21">
      <c r="A383" s="13"/>
      <c r="B383" s="13"/>
      <c r="C383" s="13"/>
      <c r="D383" s="13"/>
      <c r="H383" s="24" t="str">
        <f>IFERROR(IF(COUNTIFS($H$1:H382,H382)&gt;=VLOOKUP(H382,$A$2:$D$309,4,0),IF(H382=MAX($A$2:$A$317),"",Lista!H382+1),H382),"")</f>
        <v/>
      </c>
      <c r="I383" s="22" t="str">
        <f t="shared" si="101"/>
        <v/>
      </c>
      <c r="J383" s="24" t="str">
        <f t="shared" si="102"/>
        <v/>
      </c>
      <c r="K383" s="25" t="str">
        <f t="shared" si="107"/>
        <v/>
      </c>
      <c r="L383" s="26" t="str">
        <f t="shared" si="108"/>
        <v/>
      </c>
      <c r="M383" s="26" t="str">
        <f t="shared" si="103"/>
        <v/>
      </c>
      <c r="N383" s="26" t="str">
        <f t="shared" si="104"/>
        <v/>
      </c>
      <c r="O383" s="26" t="str">
        <f t="shared" si="105"/>
        <v/>
      </c>
      <c r="P383" s="25" t="str">
        <f t="shared" si="106"/>
        <v/>
      </c>
      <c r="Q383" s="27" t="str">
        <f t="shared" si="109"/>
        <v/>
      </c>
      <c r="R383" s="26" t="str">
        <f t="shared" si="110"/>
        <v/>
      </c>
      <c r="S383" s="23" t="str">
        <f>IF(H383=1,VLOOKUP(COUNTIF($H$2:H383,H383),Specyfikacja!$A$5:$D$99,2,0),IF(H383=2,VLOOKUP(COUNTIF($H$2:H383,H383),Specyfikacja!$A$5:$K$99,9,0),""))</f>
        <v/>
      </c>
      <c r="T383" s="23" t="str">
        <f>IF(H383=1,VLOOKUP(COUNTIF($H$2:H383,H383),Specyfikacja!$A$5:$D$99,3,0),IF(H383=2,VLOOKUP(COUNTIF($H$2:H383,H383),Specyfikacja!$A$5:$K$99,10,0),""))</f>
        <v/>
      </c>
      <c r="U383" s="23" t="str">
        <f>SUBSTITUTE(SUBSTITUTE(IF(H383=1,VLOOKUP(COUNTIF($H$2:H383,H383),Specyfikacja!$A$5:$D$99,4,0),IF(H383=2,VLOOKUP(COUNTIF($H$2:H383,H383),Specyfikacja!$A$5:$K$99,11,0),"")),"Tak","YES"),"Nie","NO")</f>
        <v/>
      </c>
    </row>
    <row r="384" spans="1:21">
      <c r="A384" s="13"/>
      <c r="B384" s="13"/>
      <c r="C384" s="13"/>
      <c r="D384" s="13"/>
      <c r="H384" s="24" t="str">
        <f>IFERROR(IF(COUNTIFS($H$1:H383,H383)&gt;=VLOOKUP(H383,$A$2:$D$309,4,0),IF(H383=MAX($A$2:$A$317),"",Lista!H383+1),H383),"")</f>
        <v/>
      </c>
      <c r="I384" s="22" t="str">
        <f t="shared" si="101"/>
        <v/>
      </c>
      <c r="J384" s="24" t="str">
        <f t="shared" si="102"/>
        <v/>
      </c>
      <c r="K384" s="25" t="str">
        <f t="shared" si="107"/>
        <v/>
      </c>
      <c r="L384" s="26" t="str">
        <f t="shared" si="108"/>
        <v/>
      </c>
      <c r="M384" s="26" t="str">
        <f t="shared" si="103"/>
        <v/>
      </c>
      <c r="N384" s="26" t="str">
        <f t="shared" si="104"/>
        <v/>
      </c>
      <c r="O384" s="26" t="str">
        <f t="shared" si="105"/>
        <v/>
      </c>
      <c r="P384" s="25" t="str">
        <f t="shared" si="106"/>
        <v/>
      </c>
      <c r="Q384" s="27" t="str">
        <f t="shared" si="109"/>
        <v/>
      </c>
      <c r="R384" s="26" t="str">
        <f t="shared" si="110"/>
        <v/>
      </c>
      <c r="S384" s="23" t="str">
        <f>IF(H384=1,VLOOKUP(COUNTIF($H$2:H384,H384),Specyfikacja!$A$5:$D$99,2,0),IF(H384=2,VLOOKUP(COUNTIF($H$2:H384,H384),Specyfikacja!$A$5:$K$99,9,0),""))</f>
        <v/>
      </c>
      <c r="T384" s="23" t="str">
        <f>IF(H384=1,VLOOKUP(COUNTIF($H$2:H384,H384),Specyfikacja!$A$5:$D$99,3,0),IF(H384=2,VLOOKUP(COUNTIF($H$2:H384,H384),Specyfikacja!$A$5:$K$99,10,0),""))</f>
        <v/>
      </c>
      <c r="U384" s="23" t="str">
        <f>SUBSTITUTE(SUBSTITUTE(IF(H384=1,VLOOKUP(COUNTIF($H$2:H384,H384),Specyfikacja!$A$5:$D$99,4,0),IF(H384=2,VLOOKUP(COUNTIF($H$2:H384,H384),Specyfikacja!$A$5:$K$99,11,0),"")),"Tak","YES"),"Nie","NO")</f>
        <v/>
      </c>
    </row>
    <row r="385" spans="1:21">
      <c r="A385" s="13"/>
      <c r="B385" s="13"/>
      <c r="C385" s="13"/>
      <c r="D385" s="13"/>
      <c r="H385" s="24" t="str">
        <f>IFERROR(IF(COUNTIFS($H$1:H384,H384)&gt;=VLOOKUP(H384,$A$2:$D$309,4,0),IF(H384=MAX($A$2:$A$317),"",Lista!H384+1),H384),"")</f>
        <v/>
      </c>
      <c r="I385" s="22" t="str">
        <f t="shared" si="101"/>
        <v/>
      </c>
      <c r="J385" s="24" t="str">
        <f t="shared" si="102"/>
        <v/>
      </c>
      <c r="K385" s="25" t="str">
        <f t="shared" si="107"/>
        <v/>
      </c>
      <c r="L385" s="26" t="str">
        <f t="shared" si="108"/>
        <v/>
      </c>
      <c r="M385" s="26" t="str">
        <f t="shared" si="103"/>
        <v/>
      </c>
      <c r="N385" s="26" t="str">
        <f t="shared" si="104"/>
        <v/>
      </c>
      <c r="O385" s="26" t="str">
        <f t="shared" si="105"/>
        <v/>
      </c>
      <c r="P385" s="25" t="str">
        <f t="shared" si="106"/>
        <v/>
      </c>
      <c r="Q385" s="27" t="str">
        <f t="shared" si="109"/>
        <v/>
      </c>
      <c r="R385" s="26" t="str">
        <f t="shared" si="110"/>
        <v/>
      </c>
      <c r="S385" s="23" t="str">
        <f>IF(H385=1,VLOOKUP(COUNTIF($H$2:H385,H385),Specyfikacja!$A$5:$D$99,2,0),IF(H385=2,VLOOKUP(COUNTIF($H$2:H385,H385),Specyfikacja!$A$5:$K$99,9,0),""))</f>
        <v/>
      </c>
      <c r="T385" s="23" t="str">
        <f>IF(H385=1,VLOOKUP(COUNTIF($H$2:H385,H385),Specyfikacja!$A$5:$D$99,3,0),IF(H385=2,VLOOKUP(COUNTIF($H$2:H385,H385),Specyfikacja!$A$5:$K$99,10,0),""))</f>
        <v/>
      </c>
      <c r="U385" s="23" t="str">
        <f>SUBSTITUTE(SUBSTITUTE(IF(H385=1,VLOOKUP(COUNTIF($H$2:H385,H385),Specyfikacja!$A$5:$D$99,4,0),IF(H385=2,VLOOKUP(COUNTIF($H$2:H385,H385),Specyfikacja!$A$5:$K$99,11,0),"")),"Tak","YES"),"Nie","NO")</f>
        <v/>
      </c>
    </row>
    <row r="386" spans="1:21">
      <c r="A386" s="13"/>
      <c r="B386" s="13"/>
      <c r="C386" s="13"/>
      <c r="D386" s="13"/>
      <c r="H386" s="24" t="str">
        <f>IFERROR(IF(COUNTIFS($H$1:H385,H385)&gt;=VLOOKUP(H385,$A$2:$D$309,4,0),IF(H385=MAX($A$2:$A$317),"",Lista!H385+1),H385),"")</f>
        <v/>
      </c>
      <c r="I386" s="22" t="str">
        <f t="shared" si="101"/>
        <v/>
      </c>
      <c r="J386" s="24" t="str">
        <f t="shared" si="102"/>
        <v/>
      </c>
      <c r="K386" s="25" t="str">
        <f t="shared" si="107"/>
        <v/>
      </c>
      <c r="L386" s="26" t="str">
        <f t="shared" si="108"/>
        <v/>
      </c>
      <c r="M386" s="26" t="str">
        <f t="shared" si="103"/>
        <v/>
      </c>
      <c r="N386" s="26" t="str">
        <f t="shared" si="104"/>
        <v/>
      </c>
      <c r="O386" s="26" t="str">
        <f t="shared" si="105"/>
        <v/>
      </c>
      <c r="P386" s="25" t="str">
        <f t="shared" si="106"/>
        <v/>
      </c>
      <c r="Q386" s="27" t="str">
        <f t="shared" si="109"/>
        <v/>
      </c>
      <c r="R386" s="26" t="str">
        <f t="shared" si="110"/>
        <v/>
      </c>
      <c r="S386" s="23" t="str">
        <f>IF(H386=1,VLOOKUP(COUNTIF($H$2:H386,H386),Specyfikacja!$A$5:$D$99,2,0),IF(H386=2,VLOOKUP(COUNTIF($H$2:H386,H386),Specyfikacja!$A$5:$K$99,9,0),""))</f>
        <v/>
      </c>
      <c r="T386" s="23" t="str">
        <f>IF(H386=1,VLOOKUP(COUNTIF($H$2:H386,H386),Specyfikacja!$A$5:$D$99,3,0),IF(H386=2,VLOOKUP(COUNTIF($H$2:H386,H386),Specyfikacja!$A$5:$K$99,10,0),""))</f>
        <v/>
      </c>
      <c r="U386" s="23" t="str">
        <f>SUBSTITUTE(SUBSTITUTE(IF(H386=1,VLOOKUP(COUNTIF($H$2:H386,H386),Specyfikacja!$A$5:$D$99,4,0),IF(H386=2,VLOOKUP(COUNTIF($H$2:H386,H386),Specyfikacja!$A$5:$K$99,11,0),"")),"Tak","YES"),"Nie","NO")</f>
        <v/>
      </c>
    </row>
    <row r="387" spans="1:21">
      <c r="A387" s="13"/>
      <c r="B387" s="13"/>
      <c r="C387" s="13"/>
      <c r="D387" s="13"/>
      <c r="H387" s="24" t="str">
        <f>IFERROR(IF(COUNTIFS($H$1:H386,H386)&gt;=VLOOKUP(H386,$A$2:$D$309,4,0),IF(H386=MAX($A$2:$A$317),"",Lista!H386+1),H386),"")</f>
        <v/>
      </c>
      <c r="I387" s="22" t="str">
        <f t="shared" ref="I387:I426" si="111">IFERROR(IF(H387=H386,"",VLOOKUP(H387,$A$2:$B$317,2,0)),"")</f>
        <v/>
      </c>
      <c r="J387" s="24" t="str">
        <f t="shared" ref="J387:J426" si="112">IFERROR(IF(H387=H386,"",VLOOKUP(H387,$A$2:$C$317,3,0)),"")</f>
        <v/>
      </c>
      <c r="K387" s="25" t="str">
        <f t="shared" si="107"/>
        <v/>
      </c>
      <c r="L387" s="26" t="str">
        <f t="shared" si="108"/>
        <v/>
      </c>
      <c r="M387" s="26" t="str">
        <f t="shared" si="103"/>
        <v/>
      </c>
      <c r="N387" s="26" t="str">
        <f t="shared" si="104"/>
        <v/>
      </c>
      <c r="O387" s="26" t="str">
        <f t="shared" si="105"/>
        <v/>
      </c>
      <c r="P387" s="25" t="str">
        <f t="shared" si="106"/>
        <v/>
      </c>
      <c r="Q387" s="27" t="str">
        <f t="shared" si="109"/>
        <v/>
      </c>
      <c r="R387" s="26" t="str">
        <f t="shared" si="110"/>
        <v/>
      </c>
      <c r="S387" s="23" t="str">
        <f>IF(H387=1,VLOOKUP(COUNTIF($H$2:H387,H387),Specyfikacja!$A$5:$D$99,2,0),IF(H387=2,VLOOKUP(COUNTIF($H$2:H387,H387),Specyfikacja!$A$5:$K$99,9,0),""))</f>
        <v/>
      </c>
      <c r="T387" s="23" t="str">
        <f>IF(H387=1,VLOOKUP(COUNTIF($H$2:H387,H387),Specyfikacja!$A$5:$D$99,3,0),IF(H387=2,VLOOKUP(COUNTIF($H$2:H387,H387),Specyfikacja!$A$5:$K$99,10,0),""))</f>
        <v/>
      </c>
      <c r="U387" s="23" t="str">
        <f>SUBSTITUTE(SUBSTITUTE(IF(H387=1,VLOOKUP(COUNTIF($H$2:H387,H387),Specyfikacja!$A$5:$D$99,4,0),IF(H387=2,VLOOKUP(COUNTIF($H$2:H387,H387),Specyfikacja!$A$5:$K$99,11,0),"")),"Tak","YES"),"Nie","NO")</f>
        <v/>
      </c>
    </row>
    <row r="388" spans="1:21">
      <c r="A388" s="13"/>
      <c r="B388" s="13"/>
      <c r="C388" s="13"/>
      <c r="D388" s="13"/>
      <c r="H388" s="24" t="str">
        <f>IFERROR(IF(COUNTIFS($H$1:H387,H387)&gt;=VLOOKUP(H387,$A$2:$D$309,4,0),IF(H387=MAX($A$2:$A$317),"",Lista!H387+1),H387),"")</f>
        <v/>
      </c>
      <c r="I388" s="22" t="str">
        <f t="shared" si="111"/>
        <v/>
      </c>
      <c r="J388" s="24" t="str">
        <f t="shared" si="112"/>
        <v/>
      </c>
      <c r="K388" s="25" t="str">
        <f t="shared" si="107"/>
        <v/>
      </c>
      <c r="L388" s="26" t="str">
        <f t="shared" si="108"/>
        <v/>
      </c>
      <c r="M388" s="26" t="str">
        <f t="shared" si="103"/>
        <v/>
      </c>
      <c r="N388" s="26" t="str">
        <f t="shared" si="104"/>
        <v/>
      </c>
      <c r="O388" s="26" t="str">
        <f t="shared" si="105"/>
        <v/>
      </c>
      <c r="P388" s="25" t="str">
        <f t="shared" si="106"/>
        <v/>
      </c>
      <c r="Q388" s="27" t="str">
        <f t="shared" si="109"/>
        <v/>
      </c>
      <c r="R388" s="26" t="str">
        <f t="shared" si="110"/>
        <v/>
      </c>
      <c r="S388" s="23" t="str">
        <f>IF(H388=1,VLOOKUP(COUNTIF($H$2:H388,H388),Specyfikacja!$A$5:$D$99,2,0),IF(H388=2,VLOOKUP(COUNTIF($H$2:H388,H388),Specyfikacja!$A$5:$K$99,9,0),""))</f>
        <v/>
      </c>
      <c r="T388" s="23" t="str">
        <f>IF(H388=1,VLOOKUP(COUNTIF($H$2:H388,H388),Specyfikacja!$A$5:$D$99,3,0),IF(H388=2,VLOOKUP(COUNTIF($H$2:H388,H388),Specyfikacja!$A$5:$K$99,10,0),""))</f>
        <v/>
      </c>
      <c r="U388" s="23" t="str">
        <f>SUBSTITUTE(SUBSTITUTE(IF(H388=1,VLOOKUP(COUNTIF($H$2:H388,H388),Specyfikacja!$A$5:$D$99,4,0),IF(H388=2,VLOOKUP(COUNTIF($H$2:H388,H388),Specyfikacja!$A$5:$K$99,11,0),"")),"Tak","YES"),"Nie","NO")</f>
        <v/>
      </c>
    </row>
    <row r="389" spans="1:21">
      <c r="A389" s="13"/>
      <c r="B389" s="13"/>
      <c r="C389" s="13"/>
      <c r="D389" s="13"/>
      <c r="H389" s="24" t="str">
        <f>IFERROR(IF(COUNTIFS($H$1:H388,H388)&gt;=VLOOKUP(H388,$A$2:$D$309,4,0),IF(H388=MAX($A$2:$A$317),"",Lista!H388+1),H388),"")</f>
        <v/>
      </c>
      <c r="I389" s="22" t="str">
        <f t="shared" si="111"/>
        <v/>
      </c>
      <c r="J389" s="24" t="str">
        <f t="shared" si="112"/>
        <v/>
      </c>
      <c r="K389" s="25" t="str">
        <f t="shared" si="107"/>
        <v/>
      </c>
      <c r="L389" s="26" t="str">
        <f t="shared" si="108"/>
        <v/>
      </c>
      <c r="M389" s="26" t="str">
        <f t="shared" ref="M389:M426" si="113">IF(H389=H388,"",IF(H389="","",$F$4))</f>
        <v/>
      </c>
      <c r="N389" s="26" t="str">
        <f t="shared" ref="N389:N426" si="114">IF(H389=H388,"",IF(H389="","",$F$5))</f>
        <v/>
      </c>
      <c r="O389" s="26" t="str">
        <f t="shared" ref="O389:O426" si="115">IF(H389=H388,"",IF(H389="","",$F$6))</f>
        <v/>
      </c>
      <c r="P389" s="25" t="str">
        <f t="shared" ref="P389:P426" si="116">IF(H389=H388,"",IF(H389="","",$F$7))</f>
        <v/>
      </c>
      <c r="Q389" s="27" t="str">
        <f t="shared" si="109"/>
        <v/>
      </c>
      <c r="R389" s="26" t="str">
        <f t="shared" si="110"/>
        <v/>
      </c>
      <c r="S389" s="23" t="str">
        <f>IF(H389=1,VLOOKUP(COUNTIF($H$2:H389,H389),Specyfikacja!$A$5:$D$99,2,0),IF(H389=2,VLOOKUP(COUNTIF($H$2:H389,H389),Specyfikacja!$A$5:$K$99,9,0),""))</f>
        <v/>
      </c>
      <c r="T389" s="23" t="str">
        <f>IF(H389=1,VLOOKUP(COUNTIF($H$2:H389,H389),Specyfikacja!$A$5:$D$99,3,0),IF(H389=2,VLOOKUP(COUNTIF($H$2:H389,H389),Specyfikacja!$A$5:$K$99,10,0),""))</f>
        <v/>
      </c>
      <c r="U389" s="23" t="str">
        <f>SUBSTITUTE(SUBSTITUTE(IF(H389=1,VLOOKUP(COUNTIF($H$2:H389,H389),Specyfikacja!$A$5:$D$99,4,0),IF(H389=2,VLOOKUP(COUNTIF($H$2:H389,H389),Specyfikacja!$A$5:$K$99,11,0),"")),"Tak","YES"),"Nie","NO")</f>
        <v/>
      </c>
    </row>
    <row r="390" spans="1:21">
      <c r="A390" s="13"/>
      <c r="B390" s="13"/>
      <c r="C390" s="13"/>
      <c r="D390" s="13"/>
      <c r="H390" s="24" t="str">
        <f>IFERROR(IF(COUNTIFS($H$1:H389,H389)&gt;=VLOOKUP(H389,$A$2:$D$309,4,0),IF(H389=MAX($A$2:$A$317),"",Lista!H389+1),H389),"")</f>
        <v/>
      </c>
      <c r="I390" s="22" t="str">
        <f t="shared" si="111"/>
        <v/>
      </c>
      <c r="J390" s="24" t="str">
        <f t="shared" si="112"/>
        <v/>
      </c>
      <c r="K390" s="25" t="str">
        <f t="shared" si="107"/>
        <v/>
      </c>
      <c r="L390" s="26" t="str">
        <f t="shared" si="108"/>
        <v/>
      </c>
      <c r="M390" s="26" t="str">
        <f t="shared" si="113"/>
        <v/>
      </c>
      <c r="N390" s="26" t="str">
        <f t="shared" si="114"/>
        <v/>
      </c>
      <c r="O390" s="26" t="str">
        <f t="shared" si="115"/>
        <v/>
      </c>
      <c r="P390" s="25" t="str">
        <f t="shared" si="116"/>
        <v/>
      </c>
      <c r="Q390" s="27" t="str">
        <f t="shared" si="109"/>
        <v/>
      </c>
      <c r="R390" s="26" t="str">
        <f t="shared" si="110"/>
        <v/>
      </c>
      <c r="S390" s="23" t="str">
        <f>IF(H390=1,VLOOKUP(COUNTIF($H$2:H390,H390),Specyfikacja!$A$5:$D$99,2,0),IF(H390=2,VLOOKUP(COUNTIF($H$2:H390,H390),Specyfikacja!$A$5:$K$99,9,0),""))</f>
        <v/>
      </c>
      <c r="T390" s="23" t="str">
        <f>IF(H390=1,VLOOKUP(COUNTIF($H$2:H390,H390),Specyfikacja!$A$5:$D$99,3,0),IF(H390=2,VLOOKUP(COUNTIF($H$2:H390,H390),Specyfikacja!$A$5:$K$99,10,0),""))</f>
        <v/>
      </c>
      <c r="U390" s="23" t="str">
        <f>SUBSTITUTE(SUBSTITUTE(IF(H390=1,VLOOKUP(COUNTIF($H$2:H390,H390),Specyfikacja!$A$5:$D$99,4,0),IF(H390=2,VLOOKUP(COUNTIF($H$2:H390,H390),Specyfikacja!$A$5:$K$99,11,0),"")),"Tak","YES"),"Nie","NO")</f>
        <v/>
      </c>
    </row>
    <row r="391" spans="1:21">
      <c r="A391" s="13"/>
      <c r="B391" s="13"/>
      <c r="C391" s="13"/>
      <c r="D391" s="13"/>
      <c r="H391" s="24" t="str">
        <f>IFERROR(IF(COUNTIFS($H$1:H390,H390)&gt;=VLOOKUP(H390,$A$2:$D$309,4,0),IF(H390=MAX($A$2:$A$317),"",Lista!H390+1),H390),"")</f>
        <v/>
      </c>
      <c r="I391" s="22" t="str">
        <f t="shared" si="111"/>
        <v/>
      </c>
      <c r="J391" s="24" t="str">
        <f t="shared" si="112"/>
        <v/>
      </c>
      <c r="K391" s="25" t="str">
        <f t="shared" si="107"/>
        <v/>
      </c>
      <c r="L391" s="26" t="str">
        <f t="shared" si="108"/>
        <v/>
      </c>
      <c r="M391" s="26" t="str">
        <f t="shared" si="113"/>
        <v/>
      </c>
      <c r="N391" s="26" t="str">
        <f t="shared" si="114"/>
        <v/>
      </c>
      <c r="O391" s="26" t="str">
        <f t="shared" si="115"/>
        <v/>
      </c>
      <c r="P391" s="25" t="str">
        <f t="shared" si="116"/>
        <v/>
      </c>
      <c r="Q391" s="27" t="str">
        <f t="shared" si="109"/>
        <v/>
      </c>
      <c r="R391" s="26" t="str">
        <f t="shared" si="110"/>
        <v/>
      </c>
      <c r="S391" s="23" t="str">
        <f>IF(H391=1,VLOOKUP(COUNTIF($H$2:H391,H391),Specyfikacja!$A$5:$D$99,2,0),IF(H391=2,VLOOKUP(COUNTIF($H$2:H391,H391),Specyfikacja!$A$5:$K$99,9,0),""))</f>
        <v/>
      </c>
      <c r="T391" s="23" t="str">
        <f>IF(H391=1,VLOOKUP(COUNTIF($H$2:H391,H391),Specyfikacja!$A$5:$D$99,3,0),IF(H391=2,VLOOKUP(COUNTIF($H$2:H391,H391),Specyfikacja!$A$5:$K$99,10,0),""))</f>
        <v/>
      </c>
      <c r="U391" s="23" t="str">
        <f>SUBSTITUTE(SUBSTITUTE(IF(H391=1,VLOOKUP(COUNTIF($H$2:H391,H391),Specyfikacja!$A$5:$D$99,4,0),IF(H391=2,VLOOKUP(COUNTIF($H$2:H391,H391),Specyfikacja!$A$5:$K$99,11,0),"")),"Tak","YES"),"Nie","NO")</f>
        <v/>
      </c>
    </row>
    <row r="392" spans="1:21">
      <c r="A392" s="13"/>
      <c r="B392" s="13"/>
      <c r="C392" s="13"/>
      <c r="D392" s="13"/>
      <c r="H392" s="24" t="str">
        <f>IFERROR(IF(COUNTIFS($H$1:H391,H391)&gt;=VLOOKUP(H391,$A$2:$D$309,4,0),IF(H391=MAX($A$2:$A$317),"",Lista!H391+1),H391),"")</f>
        <v/>
      </c>
      <c r="I392" s="22" t="str">
        <f t="shared" si="111"/>
        <v/>
      </c>
      <c r="J392" s="24" t="str">
        <f t="shared" si="112"/>
        <v/>
      </c>
      <c r="K392" s="25" t="str">
        <f t="shared" si="107"/>
        <v/>
      </c>
      <c r="L392" s="26" t="str">
        <f t="shared" si="108"/>
        <v/>
      </c>
      <c r="M392" s="26" t="str">
        <f t="shared" si="113"/>
        <v/>
      </c>
      <c r="N392" s="26" t="str">
        <f t="shared" si="114"/>
        <v/>
      </c>
      <c r="O392" s="26" t="str">
        <f t="shared" si="115"/>
        <v/>
      </c>
      <c r="P392" s="25" t="str">
        <f t="shared" si="116"/>
        <v/>
      </c>
      <c r="Q392" s="27" t="str">
        <f t="shared" si="109"/>
        <v/>
      </c>
      <c r="R392" s="26" t="str">
        <f t="shared" si="110"/>
        <v/>
      </c>
      <c r="S392" s="23" t="str">
        <f>IF(H392=1,VLOOKUP(COUNTIF($H$2:H392,H392),Specyfikacja!$A$5:$D$99,2,0),IF(H392=2,VLOOKUP(COUNTIF($H$2:H392,H392),Specyfikacja!$A$5:$K$99,9,0),""))</f>
        <v/>
      </c>
      <c r="T392" s="23" t="str">
        <f>IF(H392=1,VLOOKUP(COUNTIF($H$2:H392,H392),Specyfikacja!$A$5:$D$99,3,0),IF(H392=2,VLOOKUP(COUNTIF($H$2:H392,H392),Specyfikacja!$A$5:$K$99,10,0),""))</f>
        <v/>
      </c>
      <c r="U392" s="23" t="str">
        <f>SUBSTITUTE(SUBSTITUTE(IF(H392=1,VLOOKUP(COUNTIF($H$2:H392,H392),Specyfikacja!$A$5:$D$99,4,0),IF(H392=2,VLOOKUP(COUNTIF($H$2:H392,H392),Specyfikacja!$A$5:$K$99,11,0),"")),"Tak","YES"),"Nie","NO")</f>
        <v/>
      </c>
    </row>
    <row r="393" spans="1:21">
      <c r="A393" s="13"/>
      <c r="B393" s="13"/>
      <c r="C393" s="13"/>
      <c r="D393" s="13"/>
      <c r="H393" s="24" t="str">
        <f>IFERROR(IF(COUNTIFS($H$1:H392,H392)&gt;=VLOOKUP(H392,$A$2:$D$309,4,0),IF(H392=MAX($A$2:$A$317),"",Lista!H392+1),H392),"")</f>
        <v/>
      </c>
      <c r="I393" s="22" t="str">
        <f t="shared" si="111"/>
        <v/>
      </c>
      <c r="J393" s="24" t="str">
        <f t="shared" si="112"/>
        <v/>
      </c>
      <c r="K393" s="25" t="str">
        <f t="shared" si="107"/>
        <v/>
      </c>
      <c r="L393" s="26" t="str">
        <f t="shared" si="108"/>
        <v/>
      </c>
      <c r="M393" s="26" t="str">
        <f t="shared" si="113"/>
        <v/>
      </c>
      <c r="N393" s="26" t="str">
        <f t="shared" si="114"/>
        <v/>
      </c>
      <c r="O393" s="26" t="str">
        <f t="shared" si="115"/>
        <v/>
      </c>
      <c r="P393" s="25" t="str">
        <f t="shared" si="116"/>
        <v/>
      </c>
      <c r="Q393" s="27" t="str">
        <f t="shared" si="109"/>
        <v/>
      </c>
      <c r="R393" s="26" t="str">
        <f t="shared" si="110"/>
        <v/>
      </c>
      <c r="S393" s="23" t="str">
        <f>IF(H393=1,VLOOKUP(COUNTIF($H$2:H393,H393),Specyfikacja!$A$5:$D$99,2,0),IF(H393=2,VLOOKUP(COUNTIF($H$2:H393,H393),Specyfikacja!$A$5:$K$99,9,0),""))</f>
        <v/>
      </c>
      <c r="T393" s="23" t="str">
        <f>IF(H393=1,VLOOKUP(COUNTIF($H$2:H393,H393),Specyfikacja!$A$5:$D$99,3,0),IF(H393=2,VLOOKUP(COUNTIF($H$2:H393,H393),Specyfikacja!$A$5:$K$99,10,0),""))</f>
        <v/>
      </c>
      <c r="U393" s="23" t="str">
        <f>SUBSTITUTE(SUBSTITUTE(IF(H393=1,VLOOKUP(COUNTIF($H$2:H393,H393),Specyfikacja!$A$5:$D$99,4,0),IF(H393=2,VLOOKUP(COUNTIF($H$2:H393,H393),Specyfikacja!$A$5:$K$99,11,0),"")),"Tak","YES"),"Nie","NO")</f>
        <v/>
      </c>
    </row>
    <row r="394" spans="1:21">
      <c r="A394" s="13"/>
      <c r="B394" s="13"/>
      <c r="C394" s="13"/>
      <c r="D394" s="13"/>
      <c r="H394" s="24" t="str">
        <f>IFERROR(IF(COUNTIFS($H$1:H393,H393)&gt;=VLOOKUP(H393,$A$2:$D$309,4,0),IF(H393=MAX($A$2:$A$317),"",Lista!H393+1),H393),"")</f>
        <v/>
      </c>
      <c r="I394" s="22" t="str">
        <f t="shared" si="111"/>
        <v/>
      </c>
      <c r="J394" s="24" t="str">
        <f t="shared" si="112"/>
        <v/>
      </c>
      <c r="K394" s="25" t="str">
        <f t="shared" si="107"/>
        <v/>
      </c>
      <c r="L394" s="26" t="str">
        <f t="shared" si="108"/>
        <v/>
      </c>
      <c r="M394" s="26" t="str">
        <f t="shared" si="113"/>
        <v/>
      </c>
      <c r="N394" s="26" t="str">
        <f t="shared" si="114"/>
        <v/>
      </c>
      <c r="O394" s="26" t="str">
        <f t="shared" si="115"/>
        <v/>
      </c>
      <c r="P394" s="25" t="str">
        <f t="shared" si="116"/>
        <v/>
      </c>
      <c r="Q394" s="27" t="str">
        <f t="shared" si="109"/>
        <v/>
      </c>
      <c r="R394" s="26" t="str">
        <f t="shared" si="110"/>
        <v/>
      </c>
      <c r="S394" s="23" t="str">
        <f>IF(H394=1,VLOOKUP(COUNTIF($H$2:H394,H394),Specyfikacja!$A$5:$D$99,2,0),IF(H394=2,VLOOKUP(COUNTIF($H$2:H394,H394),Specyfikacja!$A$5:$K$99,9,0),""))</f>
        <v/>
      </c>
      <c r="T394" s="23" t="str">
        <f>IF(H394=1,VLOOKUP(COUNTIF($H$2:H394,H394),Specyfikacja!$A$5:$D$99,3,0),IF(H394=2,VLOOKUP(COUNTIF($H$2:H394,H394),Specyfikacja!$A$5:$K$99,10,0),""))</f>
        <v/>
      </c>
      <c r="U394" s="23" t="str">
        <f>SUBSTITUTE(SUBSTITUTE(IF(H394=1,VLOOKUP(COUNTIF($H$2:H394,H394),Specyfikacja!$A$5:$D$99,4,0),IF(H394=2,VLOOKUP(COUNTIF($H$2:H394,H394),Specyfikacja!$A$5:$K$99,11,0),"")),"Tak","YES"),"Nie","NO")</f>
        <v/>
      </c>
    </row>
    <row r="395" spans="1:21">
      <c r="A395" s="13"/>
      <c r="B395" s="13"/>
      <c r="C395" s="13"/>
      <c r="D395" s="13"/>
      <c r="H395" s="24" t="str">
        <f>IFERROR(IF(COUNTIFS($H$1:H394,H394)&gt;=VLOOKUP(H394,$A$2:$D$309,4,0),IF(H394=MAX($A$2:$A$317),"",Lista!H394+1),H394),"")</f>
        <v/>
      </c>
      <c r="I395" s="22" t="str">
        <f t="shared" si="111"/>
        <v/>
      </c>
      <c r="J395" s="24" t="str">
        <f t="shared" si="112"/>
        <v/>
      </c>
      <c r="K395" s="25" t="str">
        <f t="shared" si="107"/>
        <v/>
      </c>
      <c r="L395" s="26" t="str">
        <f t="shared" si="108"/>
        <v/>
      </c>
      <c r="M395" s="26" t="str">
        <f t="shared" si="113"/>
        <v/>
      </c>
      <c r="N395" s="26" t="str">
        <f t="shared" si="114"/>
        <v/>
      </c>
      <c r="O395" s="26" t="str">
        <f t="shared" si="115"/>
        <v/>
      </c>
      <c r="P395" s="25" t="str">
        <f t="shared" si="116"/>
        <v/>
      </c>
      <c r="Q395" s="27" t="str">
        <f t="shared" si="109"/>
        <v/>
      </c>
      <c r="R395" s="26" t="str">
        <f t="shared" si="110"/>
        <v/>
      </c>
      <c r="S395" s="23" t="str">
        <f>IF(H395=1,VLOOKUP(COUNTIF($H$2:H395,H395),Specyfikacja!$A$5:$D$99,2,0),IF(H395=2,VLOOKUP(COUNTIF($H$2:H395,H395),Specyfikacja!$A$5:$K$99,9,0),""))</f>
        <v/>
      </c>
      <c r="T395" s="23" t="str">
        <f>IF(H395=1,VLOOKUP(COUNTIF($H$2:H395,H395),Specyfikacja!$A$5:$D$99,3,0),IF(H395=2,VLOOKUP(COUNTIF($H$2:H395,H395),Specyfikacja!$A$5:$K$99,10,0),""))</f>
        <v/>
      </c>
      <c r="U395" s="23" t="str">
        <f>SUBSTITUTE(SUBSTITUTE(IF(H395=1,VLOOKUP(COUNTIF($H$2:H395,H395),Specyfikacja!$A$5:$D$99,4,0),IF(H395=2,VLOOKUP(COUNTIF($H$2:H395,H395),Specyfikacja!$A$5:$K$99,11,0),"")),"Tak","YES"),"Nie","NO")</f>
        <v/>
      </c>
    </row>
    <row r="396" spans="1:21">
      <c r="A396" s="13"/>
      <c r="B396" s="13"/>
      <c r="C396" s="13"/>
      <c r="D396" s="13"/>
      <c r="H396" s="24" t="str">
        <f>IFERROR(IF(COUNTIFS($H$1:H395,H395)&gt;=VLOOKUP(H395,$A$2:$D$309,4,0),IF(H395=MAX($A$2:$A$317),"",Lista!H395+1),H395),"")</f>
        <v/>
      </c>
      <c r="I396" s="22" t="str">
        <f t="shared" si="111"/>
        <v/>
      </c>
      <c r="J396" s="24" t="str">
        <f t="shared" si="112"/>
        <v/>
      </c>
      <c r="K396" s="25" t="str">
        <f t="shared" si="107"/>
        <v/>
      </c>
      <c r="L396" s="26" t="str">
        <f t="shared" si="108"/>
        <v/>
      </c>
      <c r="M396" s="26" t="str">
        <f t="shared" si="113"/>
        <v/>
      </c>
      <c r="N396" s="26" t="str">
        <f t="shared" si="114"/>
        <v/>
      </c>
      <c r="O396" s="26" t="str">
        <f t="shared" si="115"/>
        <v/>
      </c>
      <c r="P396" s="25" t="str">
        <f t="shared" si="116"/>
        <v/>
      </c>
      <c r="Q396" s="27" t="str">
        <f t="shared" si="109"/>
        <v/>
      </c>
      <c r="R396" s="26" t="str">
        <f t="shared" si="110"/>
        <v/>
      </c>
      <c r="S396" s="23" t="str">
        <f>IF(H396=1,VLOOKUP(COUNTIF($H$2:H396,H396),Specyfikacja!$A$5:$D$99,2,0),IF(H396=2,VLOOKUP(COUNTIF($H$2:H396,H396),Specyfikacja!$A$5:$K$99,9,0),""))</f>
        <v/>
      </c>
      <c r="T396" s="23" t="str">
        <f>IF(H396=1,VLOOKUP(COUNTIF($H$2:H396,H396),Specyfikacja!$A$5:$D$99,3,0),IF(H396=2,VLOOKUP(COUNTIF($H$2:H396,H396),Specyfikacja!$A$5:$K$99,10,0),""))</f>
        <v/>
      </c>
      <c r="U396" s="23" t="str">
        <f>SUBSTITUTE(SUBSTITUTE(IF(H396=1,VLOOKUP(COUNTIF($H$2:H396,H396),Specyfikacja!$A$5:$D$99,4,0),IF(H396=2,VLOOKUP(COUNTIF($H$2:H396,H396),Specyfikacja!$A$5:$K$99,11,0),"")),"Tak","YES"),"Nie","NO")</f>
        <v/>
      </c>
    </row>
    <row r="397" spans="1:21">
      <c r="A397" s="13"/>
      <c r="B397" s="13"/>
      <c r="C397" s="13"/>
      <c r="D397" s="13"/>
      <c r="H397" s="24" t="str">
        <f>IFERROR(IF(COUNTIFS($H$1:H396,H396)&gt;=VLOOKUP(H396,$A$2:$D$309,4,0),IF(H396=MAX($A$2:$A$317),"",Lista!H396+1),H396),"")</f>
        <v/>
      </c>
      <c r="I397" s="22" t="str">
        <f t="shared" si="111"/>
        <v/>
      </c>
      <c r="J397" s="24" t="str">
        <f t="shared" si="112"/>
        <v/>
      </c>
      <c r="K397" s="25" t="str">
        <f t="shared" si="107"/>
        <v/>
      </c>
      <c r="L397" s="26" t="str">
        <f t="shared" si="108"/>
        <v/>
      </c>
      <c r="M397" s="26" t="str">
        <f t="shared" si="113"/>
        <v/>
      </c>
      <c r="N397" s="26" t="str">
        <f t="shared" si="114"/>
        <v/>
      </c>
      <c r="O397" s="26" t="str">
        <f t="shared" si="115"/>
        <v/>
      </c>
      <c r="P397" s="25" t="str">
        <f t="shared" si="116"/>
        <v/>
      </c>
      <c r="Q397" s="27" t="str">
        <f t="shared" si="109"/>
        <v/>
      </c>
      <c r="R397" s="26" t="str">
        <f t="shared" si="110"/>
        <v/>
      </c>
      <c r="S397" s="23" t="str">
        <f>IF(H397=1,VLOOKUP(COUNTIF($H$2:H397,H397),Specyfikacja!$A$5:$D$99,2,0),IF(H397=2,VLOOKUP(COUNTIF($H$2:H397,H397),Specyfikacja!$A$5:$K$99,9,0),""))</f>
        <v/>
      </c>
      <c r="T397" s="23" t="str">
        <f>IF(H397=1,VLOOKUP(COUNTIF($H$2:H397,H397),Specyfikacja!$A$5:$D$99,3,0),IF(H397=2,VLOOKUP(COUNTIF($H$2:H397,H397),Specyfikacja!$A$5:$K$99,10,0),""))</f>
        <v/>
      </c>
      <c r="U397" s="23" t="str">
        <f>SUBSTITUTE(SUBSTITUTE(IF(H397=1,VLOOKUP(COUNTIF($H$2:H397,H397),Specyfikacja!$A$5:$D$99,4,0),IF(H397=2,VLOOKUP(COUNTIF($H$2:H397,H397),Specyfikacja!$A$5:$K$99,11,0),"")),"Tak","YES"),"Nie","NO")</f>
        <v/>
      </c>
    </row>
    <row r="398" spans="1:21">
      <c r="A398" s="13"/>
      <c r="B398" s="13"/>
      <c r="C398" s="13"/>
      <c r="D398" s="13"/>
      <c r="H398" s="24" t="str">
        <f>IFERROR(IF(COUNTIFS($H$1:H397,H397)&gt;=VLOOKUP(H397,$A$2:$D$309,4,0),IF(H397=MAX($A$2:$A$317),"",Lista!H397+1),H397),"")</f>
        <v/>
      </c>
      <c r="I398" s="22" t="str">
        <f t="shared" si="111"/>
        <v/>
      </c>
      <c r="J398" s="24" t="str">
        <f t="shared" si="112"/>
        <v/>
      </c>
      <c r="K398" s="25" t="str">
        <f t="shared" si="107"/>
        <v/>
      </c>
      <c r="L398" s="26" t="str">
        <f t="shared" si="108"/>
        <v/>
      </c>
      <c r="M398" s="26" t="str">
        <f t="shared" si="113"/>
        <v/>
      </c>
      <c r="N398" s="26" t="str">
        <f t="shared" si="114"/>
        <v/>
      </c>
      <c r="O398" s="26" t="str">
        <f t="shared" si="115"/>
        <v/>
      </c>
      <c r="P398" s="25" t="str">
        <f t="shared" si="116"/>
        <v/>
      </c>
      <c r="Q398" s="27" t="str">
        <f t="shared" si="109"/>
        <v/>
      </c>
      <c r="R398" s="26" t="str">
        <f t="shared" si="110"/>
        <v/>
      </c>
      <c r="S398" s="23" t="str">
        <f>IF(H398=1,VLOOKUP(COUNTIF($H$2:H398,H398),Specyfikacja!$A$5:$D$99,2,0),IF(H398=2,VLOOKUP(COUNTIF($H$2:H398,H398),Specyfikacja!$A$5:$K$99,9,0),""))</f>
        <v/>
      </c>
      <c r="T398" s="23" t="str">
        <f>IF(H398=1,VLOOKUP(COUNTIF($H$2:H398,H398),Specyfikacja!$A$5:$D$99,3,0),IF(H398=2,VLOOKUP(COUNTIF($H$2:H398,H398),Specyfikacja!$A$5:$K$99,10,0),""))</f>
        <v/>
      </c>
      <c r="U398" s="23" t="str">
        <f>SUBSTITUTE(SUBSTITUTE(IF(H398=1,VLOOKUP(COUNTIF($H$2:H398,H398),Specyfikacja!$A$5:$D$99,4,0),IF(H398=2,VLOOKUP(COUNTIF($H$2:H398,H398),Specyfikacja!$A$5:$K$99,11,0),"")),"Tak","YES"),"Nie","NO")</f>
        <v/>
      </c>
    </row>
    <row r="399" spans="1:21">
      <c r="A399" s="13"/>
      <c r="B399" s="13"/>
      <c r="C399" s="13"/>
      <c r="D399" s="13"/>
      <c r="H399" s="24" t="str">
        <f>IFERROR(IF(COUNTIFS($H$1:H398,H398)&gt;=VLOOKUP(H398,$A$2:$D$309,4,0),IF(H398=MAX($A$2:$A$317),"",Lista!H398+1),H398),"")</f>
        <v/>
      </c>
      <c r="I399" s="22" t="str">
        <f t="shared" si="111"/>
        <v/>
      </c>
      <c r="J399" s="24" t="str">
        <f t="shared" si="112"/>
        <v/>
      </c>
      <c r="K399" s="25" t="str">
        <f t="shared" si="107"/>
        <v/>
      </c>
      <c r="L399" s="26" t="str">
        <f t="shared" si="108"/>
        <v/>
      </c>
      <c r="M399" s="26" t="str">
        <f t="shared" si="113"/>
        <v/>
      </c>
      <c r="N399" s="26" t="str">
        <f t="shared" si="114"/>
        <v/>
      </c>
      <c r="O399" s="26" t="str">
        <f t="shared" si="115"/>
        <v/>
      </c>
      <c r="P399" s="25" t="str">
        <f t="shared" si="116"/>
        <v/>
      </c>
      <c r="Q399" s="27" t="str">
        <f t="shared" si="109"/>
        <v/>
      </c>
      <c r="R399" s="26" t="str">
        <f t="shared" si="110"/>
        <v/>
      </c>
      <c r="S399" s="23" t="str">
        <f>IF(H399=1,VLOOKUP(COUNTIF($H$2:H399,H399),Specyfikacja!$A$5:$D$99,2,0),IF(H399=2,VLOOKUP(COUNTIF($H$2:H399,H399),Specyfikacja!$A$5:$K$99,9,0),""))</f>
        <v/>
      </c>
      <c r="T399" s="23" t="str">
        <f>IF(H399=1,VLOOKUP(COUNTIF($H$2:H399,H399),Specyfikacja!$A$5:$D$99,3,0),IF(H399=2,VLOOKUP(COUNTIF($H$2:H399,H399),Specyfikacja!$A$5:$K$99,10,0),""))</f>
        <v/>
      </c>
      <c r="U399" s="23" t="str">
        <f>SUBSTITUTE(SUBSTITUTE(IF(H399=1,VLOOKUP(COUNTIF($H$2:H399,H399),Specyfikacja!$A$5:$D$99,4,0),IF(H399=2,VLOOKUP(COUNTIF($H$2:H399,H399),Specyfikacja!$A$5:$K$99,11,0),"")),"Tak","YES"),"Nie","NO")</f>
        <v/>
      </c>
    </row>
    <row r="400" spans="1:21">
      <c r="A400" s="13"/>
      <c r="B400" s="13"/>
      <c r="C400" s="13"/>
      <c r="D400" s="13"/>
      <c r="H400" s="24" t="str">
        <f>IFERROR(IF(COUNTIFS($H$1:H399,H399)&gt;=VLOOKUP(H399,$A$2:$D$309,4,0),IF(H399=MAX($A$2:$A$317),"",Lista!H399+1),H399),"")</f>
        <v/>
      </c>
      <c r="I400" s="22" t="str">
        <f t="shared" si="111"/>
        <v/>
      </c>
      <c r="J400" s="24" t="str">
        <f t="shared" si="112"/>
        <v/>
      </c>
      <c r="K400" s="25" t="str">
        <f t="shared" si="107"/>
        <v/>
      </c>
      <c r="L400" s="26" t="str">
        <f t="shared" si="108"/>
        <v/>
      </c>
      <c r="M400" s="26" t="str">
        <f t="shared" si="113"/>
        <v/>
      </c>
      <c r="N400" s="26" t="str">
        <f t="shared" si="114"/>
        <v/>
      </c>
      <c r="O400" s="26" t="str">
        <f t="shared" si="115"/>
        <v/>
      </c>
      <c r="P400" s="25" t="str">
        <f t="shared" si="116"/>
        <v/>
      </c>
      <c r="Q400" s="27" t="str">
        <f t="shared" si="109"/>
        <v/>
      </c>
      <c r="R400" s="26" t="str">
        <f t="shared" si="110"/>
        <v/>
      </c>
      <c r="S400" s="23" t="str">
        <f>IF(H400=1,VLOOKUP(COUNTIF($H$2:H400,H400),Specyfikacja!$A$5:$D$99,2,0),IF(H400=2,VLOOKUP(COUNTIF($H$2:H400,H400),Specyfikacja!$A$5:$K$99,9,0),""))</f>
        <v/>
      </c>
      <c r="T400" s="23" t="str">
        <f>IF(H400=1,VLOOKUP(COUNTIF($H$2:H400,H400),Specyfikacja!$A$5:$D$99,3,0),IF(H400=2,VLOOKUP(COUNTIF($H$2:H400,H400),Specyfikacja!$A$5:$K$99,10,0),""))</f>
        <v/>
      </c>
      <c r="U400" s="23" t="str">
        <f>SUBSTITUTE(SUBSTITUTE(IF(H400=1,VLOOKUP(COUNTIF($H$2:H400,H400),Specyfikacja!$A$5:$D$99,4,0),IF(H400=2,VLOOKUP(COUNTIF($H$2:H400,H400),Specyfikacja!$A$5:$K$99,11,0),"")),"Tak","YES"),"Nie","NO")</f>
        <v/>
      </c>
    </row>
    <row r="401" spans="1:21">
      <c r="A401" s="13"/>
      <c r="B401" s="13"/>
      <c r="C401" s="13"/>
      <c r="D401" s="13"/>
      <c r="H401" s="24" t="str">
        <f>IFERROR(IF(COUNTIFS($H$1:H400,H400)&gt;=VLOOKUP(H400,$A$2:$D$309,4,0),IF(H400=MAX($A$2:$A$317),"",Lista!H400+1),H400),"")</f>
        <v/>
      </c>
      <c r="I401" s="22" t="str">
        <f t="shared" si="111"/>
        <v/>
      </c>
      <c r="J401" s="24" t="str">
        <f t="shared" si="112"/>
        <v/>
      </c>
      <c r="K401" s="25" t="str">
        <f t="shared" ref="K401:K426" si="117">IF(H401=H400,"",IF(H401="","",$F$2))</f>
        <v/>
      </c>
      <c r="L401" s="26" t="str">
        <f t="shared" ref="L401:L426" si="118">IF(H401=H400,"",IF(H401="","",$F$3))</f>
        <v/>
      </c>
      <c r="M401" s="26" t="str">
        <f t="shared" si="113"/>
        <v/>
      </c>
      <c r="N401" s="26" t="str">
        <f t="shared" si="114"/>
        <v/>
      </c>
      <c r="O401" s="26" t="str">
        <f t="shared" si="115"/>
        <v/>
      </c>
      <c r="P401" s="25" t="str">
        <f t="shared" si="116"/>
        <v/>
      </c>
      <c r="Q401" s="27" t="str">
        <f t="shared" ref="Q401:Q426" si="119">IF(H401=H400,"",IF(H401="","",$F$8))</f>
        <v/>
      </c>
      <c r="R401" s="26" t="str">
        <f t="shared" ref="R401:R426" si="120">IF(H401=H400,"",IF(H401="","",$F$9))</f>
        <v/>
      </c>
      <c r="S401" s="23" t="str">
        <f>IF(H401=1,VLOOKUP(COUNTIF($H$2:H401,H401),Specyfikacja!$A$5:$D$99,2,0),IF(H401=2,VLOOKUP(COUNTIF($H$2:H401,H401),Specyfikacja!$A$5:$K$99,9,0),""))</f>
        <v/>
      </c>
      <c r="T401" s="23" t="str">
        <f>IF(H401=1,VLOOKUP(COUNTIF($H$2:H401,H401),Specyfikacja!$A$5:$D$99,3,0),IF(H401=2,VLOOKUP(COUNTIF($H$2:H401,H401),Specyfikacja!$A$5:$K$99,10,0),""))</f>
        <v/>
      </c>
      <c r="U401" s="23" t="str">
        <f>SUBSTITUTE(SUBSTITUTE(IF(H401=1,VLOOKUP(COUNTIF($H$2:H401,H401),Specyfikacja!$A$5:$D$99,4,0),IF(H401=2,VLOOKUP(COUNTIF($H$2:H401,H401),Specyfikacja!$A$5:$K$99,11,0),"")),"Tak","YES"),"Nie","NO")</f>
        <v/>
      </c>
    </row>
    <row r="402" spans="1:21">
      <c r="A402" s="13"/>
      <c r="B402" s="13"/>
      <c r="C402" s="13"/>
      <c r="D402" s="13"/>
      <c r="H402" s="24" t="str">
        <f>IFERROR(IF(COUNTIFS($H$1:H401,H401)&gt;=VLOOKUP(H401,$A$2:$D$309,4,0),IF(H401=MAX($A$2:$A$317),"",Lista!H401+1),H401),"")</f>
        <v/>
      </c>
      <c r="I402" s="22" t="str">
        <f t="shared" si="111"/>
        <v/>
      </c>
      <c r="J402" s="24" t="str">
        <f t="shared" si="112"/>
        <v/>
      </c>
      <c r="K402" s="25" t="str">
        <f t="shared" si="117"/>
        <v/>
      </c>
      <c r="L402" s="26" t="str">
        <f t="shared" si="118"/>
        <v/>
      </c>
      <c r="M402" s="26" t="str">
        <f t="shared" si="113"/>
        <v/>
      </c>
      <c r="N402" s="26" t="str">
        <f t="shared" si="114"/>
        <v/>
      </c>
      <c r="O402" s="26" t="str">
        <f t="shared" si="115"/>
        <v/>
      </c>
      <c r="P402" s="25" t="str">
        <f t="shared" si="116"/>
        <v/>
      </c>
      <c r="Q402" s="27" t="str">
        <f t="shared" si="119"/>
        <v/>
      </c>
      <c r="R402" s="26" t="str">
        <f t="shared" si="120"/>
        <v/>
      </c>
      <c r="S402" s="23" t="str">
        <f>IF(H402=1,VLOOKUP(COUNTIF($H$2:H402,H402),Specyfikacja!$A$5:$D$99,2,0),IF(H402=2,VLOOKUP(COUNTIF($H$2:H402,H402),Specyfikacja!$A$5:$K$99,9,0),""))</f>
        <v/>
      </c>
      <c r="T402" s="23" t="str">
        <f>IF(H402=1,VLOOKUP(COUNTIF($H$2:H402,H402),Specyfikacja!$A$5:$D$99,3,0),IF(H402=2,VLOOKUP(COUNTIF($H$2:H402,H402),Specyfikacja!$A$5:$K$99,10,0),""))</f>
        <v/>
      </c>
      <c r="U402" s="23" t="str">
        <f>SUBSTITUTE(SUBSTITUTE(IF(H402=1,VLOOKUP(COUNTIF($H$2:H402,H402),Specyfikacja!$A$5:$D$99,4,0),IF(H402=2,VLOOKUP(COUNTIF($H$2:H402,H402),Specyfikacja!$A$5:$K$99,11,0),"")),"Tak","YES"),"Nie","NO")</f>
        <v/>
      </c>
    </row>
    <row r="403" spans="1:21">
      <c r="A403" s="13"/>
      <c r="B403" s="13"/>
      <c r="C403" s="13"/>
      <c r="D403" s="13"/>
      <c r="H403" s="24" t="str">
        <f>IFERROR(IF(COUNTIFS($H$1:H402,H402)&gt;=VLOOKUP(H402,$A$2:$D$309,4,0),IF(H402=MAX($A$2:$A$317),"",Lista!H402+1),H402),"")</f>
        <v/>
      </c>
      <c r="I403" s="22" t="str">
        <f t="shared" si="111"/>
        <v/>
      </c>
      <c r="J403" s="24" t="str">
        <f t="shared" si="112"/>
        <v/>
      </c>
      <c r="K403" s="25" t="str">
        <f t="shared" si="117"/>
        <v/>
      </c>
      <c r="L403" s="26" t="str">
        <f t="shared" si="118"/>
        <v/>
      </c>
      <c r="M403" s="26" t="str">
        <f t="shared" si="113"/>
        <v/>
      </c>
      <c r="N403" s="26" t="str">
        <f t="shared" si="114"/>
        <v/>
      </c>
      <c r="O403" s="26" t="str">
        <f t="shared" si="115"/>
        <v/>
      </c>
      <c r="P403" s="25" t="str">
        <f t="shared" si="116"/>
        <v/>
      </c>
      <c r="Q403" s="27" t="str">
        <f t="shared" si="119"/>
        <v/>
      </c>
      <c r="R403" s="26" t="str">
        <f t="shared" si="120"/>
        <v/>
      </c>
      <c r="S403" s="23" t="str">
        <f>IF(H403=1,VLOOKUP(COUNTIF($H$2:H403,H403),Specyfikacja!$A$5:$D$99,2,0),IF(H403=2,VLOOKUP(COUNTIF($H$2:H403,H403),Specyfikacja!$A$5:$K$99,9,0),""))</f>
        <v/>
      </c>
      <c r="T403" s="23" t="str">
        <f>IF(H403=1,VLOOKUP(COUNTIF($H$2:H403,H403),Specyfikacja!$A$5:$D$99,3,0),IF(H403=2,VLOOKUP(COUNTIF($H$2:H403,H403),Specyfikacja!$A$5:$K$99,10,0),""))</f>
        <v/>
      </c>
      <c r="U403" s="23" t="str">
        <f>SUBSTITUTE(SUBSTITUTE(IF(H403=1,VLOOKUP(COUNTIF($H$2:H403,H403),Specyfikacja!$A$5:$D$99,4,0),IF(H403=2,VLOOKUP(COUNTIF($H$2:H403,H403),Specyfikacja!$A$5:$K$99,11,0),"")),"Tak","YES"),"Nie","NO")</f>
        <v/>
      </c>
    </row>
    <row r="404" spans="1:21">
      <c r="A404" s="13"/>
      <c r="B404" s="13"/>
      <c r="C404" s="13"/>
      <c r="D404" s="13"/>
      <c r="H404" s="24" t="str">
        <f>IFERROR(IF(COUNTIFS($H$1:H403,H403)&gt;=VLOOKUP(H403,$A$2:$D$309,4,0),IF(H403=MAX($A$2:$A$317),"",Lista!H403+1),H403),"")</f>
        <v/>
      </c>
      <c r="I404" s="22" t="str">
        <f t="shared" si="111"/>
        <v/>
      </c>
      <c r="J404" s="24" t="str">
        <f t="shared" si="112"/>
        <v/>
      </c>
      <c r="K404" s="25" t="str">
        <f t="shared" si="117"/>
        <v/>
      </c>
      <c r="L404" s="26" t="str">
        <f t="shared" si="118"/>
        <v/>
      </c>
      <c r="M404" s="26" t="str">
        <f t="shared" si="113"/>
        <v/>
      </c>
      <c r="N404" s="26" t="str">
        <f t="shared" si="114"/>
        <v/>
      </c>
      <c r="O404" s="26" t="str">
        <f t="shared" si="115"/>
        <v/>
      </c>
      <c r="P404" s="25" t="str">
        <f t="shared" si="116"/>
        <v/>
      </c>
      <c r="Q404" s="27" t="str">
        <f t="shared" si="119"/>
        <v/>
      </c>
      <c r="R404" s="26" t="str">
        <f t="shared" si="120"/>
        <v/>
      </c>
      <c r="S404" s="23" t="str">
        <f>IF(H404=1,VLOOKUP(COUNTIF($H$2:H404,H404),Specyfikacja!$A$5:$D$99,2,0),IF(H404=2,VLOOKUP(COUNTIF($H$2:H404,H404),Specyfikacja!$A$5:$K$99,9,0),""))</f>
        <v/>
      </c>
      <c r="T404" s="23" t="str">
        <f>IF(H404=1,VLOOKUP(COUNTIF($H$2:H404,H404),Specyfikacja!$A$5:$D$99,3,0),IF(H404=2,VLOOKUP(COUNTIF($H$2:H404,H404),Specyfikacja!$A$5:$K$99,10,0),""))</f>
        <v/>
      </c>
      <c r="U404" s="23" t="str">
        <f>SUBSTITUTE(SUBSTITUTE(IF(H404=1,VLOOKUP(COUNTIF($H$2:H404,H404),Specyfikacja!$A$5:$D$99,4,0),IF(H404=2,VLOOKUP(COUNTIF($H$2:H404,H404),Specyfikacja!$A$5:$K$99,11,0),"")),"Tak","YES"),"Nie","NO")</f>
        <v/>
      </c>
    </row>
    <row r="405" spans="1:21">
      <c r="A405" s="13"/>
      <c r="B405" s="13"/>
      <c r="C405" s="13"/>
      <c r="D405" s="13"/>
      <c r="H405" s="24" t="str">
        <f>IFERROR(IF(COUNTIFS($H$1:H404,H404)&gt;=VLOOKUP(H404,$A$2:$D$309,4,0),IF(H404=MAX($A$2:$A$317),"",Lista!H404+1),H404),"")</f>
        <v/>
      </c>
      <c r="I405" s="22" t="str">
        <f t="shared" si="111"/>
        <v/>
      </c>
      <c r="J405" s="24" t="str">
        <f t="shared" si="112"/>
        <v/>
      </c>
      <c r="K405" s="25" t="str">
        <f t="shared" si="117"/>
        <v/>
      </c>
      <c r="L405" s="26" t="str">
        <f t="shared" si="118"/>
        <v/>
      </c>
      <c r="M405" s="26" t="str">
        <f t="shared" si="113"/>
        <v/>
      </c>
      <c r="N405" s="26" t="str">
        <f t="shared" si="114"/>
        <v/>
      </c>
      <c r="O405" s="26" t="str">
        <f t="shared" si="115"/>
        <v/>
      </c>
      <c r="P405" s="25" t="str">
        <f t="shared" si="116"/>
        <v/>
      </c>
      <c r="Q405" s="27" t="str">
        <f t="shared" si="119"/>
        <v/>
      </c>
      <c r="R405" s="26" t="str">
        <f t="shared" si="120"/>
        <v/>
      </c>
      <c r="S405" s="23" t="str">
        <f>IF(H405=1,VLOOKUP(COUNTIF($H$2:H405,H405),Specyfikacja!$A$5:$D$99,2,0),IF(H405=2,VLOOKUP(COUNTIF($H$2:H405,H405),Specyfikacja!$A$5:$K$99,9,0),""))</f>
        <v/>
      </c>
      <c r="T405" s="23" t="str">
        <f>IF(H405=1,VLOOKUP(COUNTIF($H$2:H405,H405),Specyfikacja!$A$5:$D$99,3,0),IF(H405=2,VLOOKUP(COUNTIF($H$2:H405,H405),Specyfikacja!$A$5:$K$99,10,0),""))</f>
        <v/>
      </c>
      <c r="U405" s="23" t="str">
        <f>SUBSTITUTE(SUBSTITUTE(IF(H405=1,VLOOKUP(COUNTIF($H$2:H405,H405),Specyfikacja!$A$5:$D$99,4,0),IF(H405=2,VLOOKUP(COUNTIF($H$2:H405,H405),Specyfikacja!$A$5:$K$99,11,0),"")),"Tak","YES"),"Nie","NO")</f>
        <v/>
      </c>
    </row>
    <row r="406" spans="1:21">
      <c r="A406" s="13"/>
      <c r="B406" s="13"/>
      <c r="C406" s="13"/>
      <c r="D406" s="13"/>
      <c r="H406" s="24" t="str">
        <f>IFERROR(IF(COUNTIFS($H$1:H405,H405)&gt;=VLOOKUP(H405,$A$2:$D$309,4,0),IF(H405=MAX($A$2:$A$317),"",Lista!H405+1),H405),"")</f>
        <v/>
      </c>
      <c r="I406" s="22" t="str">
        <f t="shared" si="111"/>
        <v/>
      </c>
      <c r="J406" s="24" t="str">
        <f t="shared" si="112"/>
        <v/>
      </c>
      <c r="K406" s="25" t="str">
        <f t="shared" si="117"/>
        <v/>
      </c>
      <c r="L406" s="26" t="str">
        <f t="shared" si="118"/>
        <v/>
      </c>
      <c r="M406" s="26" t="str">
        <f t="shared" si="113"/>
        <v/>
      </c>
      <c r="N406" s="26" t="str">
        <f t="shared" si="114"/>
        <v/>
      </c>
      <c r="O406" s="26" t="str">
        <f t="shared" si="115"/>
        <v/>
      </c>
      <c r="P406" s="25" t="str">
        <f t="shared" si="116"/>
        <v/>
      </c>
      <c r="Q406" s="27" t="str">
        <f t="shared" si="119"/>
        <v/>
      </c>
      <c r="R406" s="26" t="str">
        <f t="shared" si="120"/>
        <v/>
      </c>
      <c r="S406" s="23" t="str">
        <f>IF(H406=1,VLOOKUP(COUNTIF($H$2:H406,H406),Specyfikacja!$A$5:$D$99,2,0),IF(H406=2,VLOOKUP(COUNTIF($H$2:H406,H406),Specyfikacja!$A$5:$K$99,9,0),""))</f>
        <v/>
      </c>
      <c r="T406" s="23" t="str">
        <f>IF(H406=1,VLOOKUP(COUNTIF($H$2:H406,H406),Specyfikacja!$A$5:$D$99,3,0),IF(H406=2,VLOOKUP(COUNTIF($H$2:H406,H406),Specyfikacja!$A$5:$K$99,10,0),""))</f>
        <v/>
      </c>
      <c r="U406" s="23" t="str">
        <f>SUBSTITUTE(SUBSTITUTE(IF(H406=1,VLOOKUP(COUNTIF($H$2:H406,H406),Specyfikacja!$A$5:$D$99,4,0),IF(H406=2,VLOOKUP(COUNTIF($H$2:H406,H406),Specyfikacja!$A$5:$K$99,11,0),"")),"Tak","YES"),"Nie","NO")</f>
        <v/>
      </c>
    </row>
    <row r="407" spans="1:21">
      <c r="A407" s="13"/>
      <c r="B407" s="13"/>
      <c r="C407" s="13"/>
      <c r="D407" s="13"/>
      <c r="H407" s="24" t="str">
        <f>IFERROR(IF(COUNTIFS($H$1:H406,H406)&gt;=VLOOKUP(H406,$A$2:$D$309,4,0),IF(H406=MAX($A$2:$A$317),"",Lista!H406+1),H406),"")</f>
        <v/>
      </c>
      <c r="I407" s="22" t="str">
        <f t="shared" si="111"/>
        <v/>
      </c>
      <c r="J407" s="24" t="str">
        <f t="shared" si="112"/>
        <v/>
      </c>
      <c r="K407" s="25" t="str">
        <f t="shared" si="117"/>
        <v/>
      </c>
      <c r="L407" s="26" t="str">
        <f t="shared" si="118"/>
        <v/>
      </c>
      <c r="M407" s="26" t="str">
        <f t="shared" si="113"/>
        <v/>
      </c>
      <c r="N407" s="26" t="str">
        <f t="shared" si="114"/>
        <v/>
      </c>
      <c r="O407" s="26" t="str">
        <f t="shared" si="115"/>
        <v/>
      </c>
      <c r="P407" s="25" t="str">
        <f t="shared" si="116"/>
        <v/>
      </c>
      <c r="Q407" s="27" t="str">
        <f t="shared" si="119"/>
        <v/>
      </c>
      <c r="R407" s="26" t="str">
        <f t="shared" si="120"/>
        <v/>
      </c>
      <c r="S407" s="23" t="str">
        <f>IF(H407=1,VLOOKUP(COUNTIF($H$2:H407,H407),Specyfikacja!$A$5:$D$99,2,0),IF(H407=2,VLOOKUP(COUNTIF($H$2:H407,H407),Specyfikacja!$A$5:$K$99,9,0),""))</f>
        <v/>
      </c>
      <c r="T407" s="23" t="str">
        <f>IF(H407=1,VLOOKUP(COUNTIF($H$2:H407,H407),Specyfikacja!$A$5:$D$99,3,0),IF(H407=2,VLOOKUP(COUNTIF($H$2:H407,H407),Specyfikacja!$A$5:$K$99,10,0),""))</f>
        <v/>
      </c>
      <c r="U407" s="23" t="str">
        <f>SUBSTITUTE(SUBSTITUTE(IF(H407=1,VLOOKUP(COUNTIF($H$2:H407,H407),Specyfikacja!$A$5:$D$99,4,0),IF(H407=2,VLOOKUP(COUNTIF($H$2:H407,H407),Specyfikacja!$A$5:$K$99,11,0),"")),"Tak","YES"),"Nie","NO")</f>
        <v/>
      </c>
    </row>
    <row r="408" spans="1:21">
      <c r="A408" s="13"/>
      <c r="B408" s="13"/>
      <c r="C408" s="13"/>
      <c r="D408" s="13"/>
      <c r="H408" s="24" t="str">
        <f>IFERROR(IF(COUNTIFS($H$1:H407,H407)&gt;=VLOOKUP(H407,$A$2:$D$309,4,0),IF(H407=MAX($A$2:$A$317),"",Lista!H407+1),H407),"")</f>
        <v/>
      </c>
      <c r="I408" s="22" t="str">
        <f t="shared" si="111"/>
        <v/>
      </c>
      <c r="J408" s="24" t="str">
        <f t="shared" si="112"/>
        <v/>
      </c>
      <c r="K408" s="25" t="str">
        <f t="shared" si="117"/>
        <v/>
      </c>
      <c r="L408" s="26" t="str">
        <f t="shared" si="118"/>
        <v/>
      </c>
      <c r="M408" s="26" t="str">
        <f t="shared" si="113"/>
        <v/>
      </c>
      <c r="N408" s="26" t="str">
        <f t="shared" si="114"/>
        <v/>
      </c>
      <c r="O408" s="26" t="str">
        <f t="shared" si="115"/>
        <v/>
      </c>
      <c r="P408" s="25" t="str">
        <f t="shared" si="116"/>
        <v/>
      </c>
      <c r="Q408" s="27" t="str">
        <f t="shared" si="119"/>
        <v/>
      </c>
      <c r="R408" s="26" t="str">
        <f t="shared" si="120"/>
        <v/>
      </c>
      <c r="S408" s="23" t="str">
        <f>IF(H408=1,VLOOKUP(COUNTIF($H$2:H408,H408),Specyfikacja!$A$5:$D$99,2,0),IF(H408=2,VLOOKUP(COUNTIF($H$2:H408,H408),Specyfikacja!$A$5:$K$99,9,0),""))</f>
        <v/>
      </c>
      <c r="T408" s="23" t="str">
        <f>IF(H408=1,VLOOKUP(COUNTIF($H$2:H408,H408),Specyfikacja!$A$5:$D$99,3,0),IF(H408=2,VLOOKUP(COUNTIF($H$2:H408,H408),Specyfikacja!$A$5:$K$99,10,0),""))</f>
        <v/>
      </c>
      <c r="U408" s="23" t="str">
        <f>SUBSTITUTE(SUBSTITUTE(IF(H408=1,VLOOKUP(COUNTIF($H$2:H408,H408),Specyfikacja!$A$5:$D$99,4,0),IF(H408=2,VLOOKUP(COUNTIF($H$2:H408,H408),Specyfikacja!$A$5:$K$99,11,0),"")),"Tak","YES"),"Nie","NO")</f>
        <v/>
      </c>
    </row>
    <row r="409" spans="1:21">
      <c r="A409" s="13"/>
      <c r="B409" s="13"/>
      <c r="C409" s="13"/>
      <c r="D409" s="13"/>
      <c r="H409" s="24" t="str">
        <f>IFERROR(IF(COUNTIFS($H$1:H408,H408)&gt;=VLOOKUP(H408,$A$2:$D$309,4,0),IF(H408=MAX($A$2:$A$317),"",Lista!H408+1),H408),"")</f>
        <v/>
      </c>
      <c r="I409" s="22" t="str">
        <f t="shared" si="111"/>
        <v/>
      </c>
      <c r="J409" s="24" t="str">
        <f t="shared" si="112"/>
        <v/>
      </c>
      <c r="K409" s="25" t="str">
        <f t="shared" si="117"/>
        <v/>
      </c>
      <c r="L409" s="26" t="str">
        <f t="shared" si="118"/>
        <v/>
      </c>
      <c r="M409" s="26" t="str">
        <f t="shared" si="113"/>
        <v/>
      </c>
      <c r="N409" s="26" t="str">
        <f t="shared" si="114"/>
        <v/>
      </c>
      <c r="O409" s="26" t="str">
        <f t="shared" si="115"/>
        <v/>
      </c>
      <c r="P409" s="25" t="str">
        <f t="shared" si="116"/>
        <v/>
      </c>
      <c r="Q409" s="27" t="str">
        <f t="shared" si="119"/>
        <v/>
      </c>
      <c r="R409" s="26" t="str">
        <f t="shared" si="120"/>
        <v/>
      </c>
      <c r="S409" s="23" t="str">
        <f>IF(H409=1,VLOOKUP(COUNTIF($H$2:H409,H409),Specyfikacja!$A$5:$D$99,2,0),IF(H409=2,VLOOKUP(COUNTIF($H$2:H409,H409),Specyfikacja!$A$5:$K$99,9,0),""))</f>
        <v/>
      </c>
      <c r="T409" s="23" t="str">
        <f>IF(H409=1,VLOOKUP(COUNTIF($H$2:H409,H409),Specyfikacja!$A$5:$D$99,3,0),IF(H409=2,VLOOKUP(COUNTIF($H$2:H409,H409),Specyfikacja!$A$5:$K$99,10,0),""))</f>
        <v/>
      </c>
      <c r="U409" s="23" t="str">
        <f>SUBSTITUTE(SUBSTITUTE(IF(H409=1,VLOOKUP(COUNTIF($H$2:H409,H409),Specyfikacja!$A$5:$D$99,4,0),IF(H409=2,VLOOKUP(COUNTIF($H$2:H409,H409),Specyfikacja!$A$5:$K$99,11,0),"")),"Tak","YES"),"Nie","NO")</f>
        <v/>
      </c>
    </row>
    <row r="410" spans="1:21">
      <c r="A410" s="13"/>
      <c r="B410" s="13"/>
      <c r="C410" s="13"/>
      <c r="D410" s="13"/>
      <c r="H410" s="24" t="str">
        <f>IFERROR(IF(COUNTIFS($H$1:H409,H409)&gt;=VLOOKUP(H409,$A$2:$D$309,4,0),IF(H409=MAX($A$2:$A$317),"",Lista!H409+1),H409),"")</f>
        <v/>
      </c>
      <c r="I410" s="22" t="str">
        <f t="shared" si="111"/>
        <v/>
      </c>
      <c r="J410" s="24" t="str">
        <f t="shared" si="112"/>
        <v/>
      </c>
      <c r="K410" s="25" t="str">
        <f t="shared" si="117"/>
        <v/>
      </c>
      <c r="L410" s="26" t="str">
        <f t="shared" si="118"/>
        <v/>
      </c>
      <c r="M410" s="26" t="str">
        <f t="shared" si="113"/>
        <v/>
      </c>
      <c r="N410" s="26" t="str">
        <f t="shared" si="114"/>
        <v/>
      </c>
      <c r="O410" s="26" t="str">
        <f t="shared" si="115"/>
        <v/>
      </c>
      <c r="P410" s="25" t="str">
        <f t="shared" si="116"/>
        <v/>
      </c>
      <c r="Q410" s="27" t="str">
        <f t="shared" si="119"/>
        <v/>
      </c>
      <c r="R410" s="26" t="str">
        <f t="shared" si="120"/>
        <v/>
      </c>
      <c r="S410" s="23" t="str">
        <f>IF(H410=1,VLOOKUP(COUNTIF($H$2:H410,H410),Specyfikacja!$A$5:$D$99,2,0),IF(H410=2,VLOOKUP(COUNTIF($H$2:H410,H410),Specyfikacja!$A$5:$K$99,9,0),""))</f>
        <v/>
      </c>
      <c r="T410" s="23" t="str">
        <f>IF(H410=1,VLOOKUP(COUNTIF($H$2:H410,H410),Specyfikacja!$A$5:$D$99,3,0),IF(H410=2,VLOOKUP(COUNTIF($H$2:H410,H410),Specyfikacja!$A$5:$K$99,10,0),""))</f>
        <v/>
      </c>
      <c r="U410" s="23" t="str">
        <f>SUBSTITUTE(SUBSTITUTE(IF(H410=1,VLOOKUP(COUNTIF($H$2:H410,H410),Specyfikacja!$A$5:$D$99,4,0),IF(H410=2,VLOOKUP(COUNTIF($H$2:H410,H410),Specyfikacja!$A$5:$K$99,11,0),"")),"Tak","YES"),"Nie","NO")</f>
        <v/>
      </c>
    </row>
    <row r="411" spans="1:21">
      <c r="A411" s="13"/>
      <c r="B411" s="13"/>
      <c r="C411" s="13"/>
      <c r="D411" s="13"/>
      <c r="H411" s="24" t="str">
        <f>IFERROR(IF(COUNTIFS($H$1:H410,H410)&gt;=VLOOKUP(H410,$A$2:$D$309,4,0),IF(H410=MAX($A$2:$A$317),"",Lista!H410+1),H410),"")</f>
        <v/>
      </c>
      <c r="I411" s="22" t="str">
        <f t="shared" si="111"/>
        <v/>
      </c>
      <c r="J411" s="24" t="str">
        <f t="shared" si="112"/>
        <v/>
      </c>
      <c r="K411" s="25" t="str">
        <f t="shared" si="117"/>
        <v/>
      </c>
      <c r="L411" s="26" t="str">
        <f t="shared" si="118"/>
        <v/>
      </c>
      <c r="M411" s="26" t="str">
        <f t="shared" si="113"/>
        <v/>
      </c>
      <c r="N411" s="26" t="str">
        <f t="shared" si="114"/>
        <v/>
      </c>
      <c r="O411" s="26" t="str">
        <f t="shared" si="115"/>
        <v/>
      </c>
      <c r="P411" s="25" t="str">
        <f t="shared" si="116"/>
        <v/>
      </c>
      <c r="Q411" s="27" t="str">
        <f t="shared" si="119"/>
        <v/>
      </c>
      <c r="R411" s="26" t="str">
        <f t="shared" si="120"/>
        <v/>
      </c>
      <c r="S411" s="23" t="str">
        <f>IF(H411=1,VLOOKUP(COUNTIF($H$2:H411,H411),Specyfikacja!$A$5:$D$99,2,0),IF(H411=2,VLOOKUP(COUNTIF($H$2:H411,H411),Specyfikacja!$A$5:$K$99,9,0),""))</f>
        <v/>
      </c>
      <c r="T411" s="23" t="str">
        <f>IF(H411=1,VLOOKUP(COUNTIF($H$2:H411,H411),Specyfikacja!$A$5:$D$99,3,0),IF(H411=2,VLOOKUP(COUNTIF($H$2:H411,H411),Specyfikacja!$A$5:$K$99,10,0),""))</f>
        <v/>
      </c>
      <c r="U411" s="23" t="str">
        <f>SUBSTITUTE(SUBSTITUTE(IF(H411=1,VLOOKUP(COUNTIF($H$2:H411,H411),Specyfikacja!$A$5:$D$99,4,0),IF(H411=2,VLOOKUP(COUNTIF($H$2:H411,H411),Specyfikacja!$A$5:$K$99,11,0),"")),"Tak","YES"),"Nie","NO")</f>
        <v/>
      </c>
    </row>
    <row r="412" spans="1:21">
      <c r="A412" s="13"/>
      <c r="B412" s="13"/>
      <c r="C412" s="13"/>
      <c r="D412" s="13"/>
      <c r="H412" s="24" t="str">
        <f>IFERROR(IF(COUNTIFS($H$1:H411,H411)&gt;=VLOOKUP(H411,$A$2:$D$309,4,0),IF(H411=MAX($A$2:$A$317),"",Lista!H411+1),H411),"")</f>
        <v/>
      </c>
      <c r="I412" s="22" t="str">
        <f t="shared" si="111"/>
        <v/>
      </c>
      <c r="J412" s="24" t="str">
        <f t="shared" si="112"/>
        <v/>
      </c>
      <c r="K412" s="25" t="str">
        <f t="shared" si="117"/>
        <v/>
      </c>
      <c r="L412" s="26" t="str">
        <f t="shared" si="118"/>
        <v/>
      </c>
      <c r="M412" s="26" t="str">
        <f t="shared" si="113"/>
        <v/>
      </c>
      <c r="N412" s="26" t="str">
        <f t="shared" si="114"/>
        <v/>
      </c>
      <c r="O412" s="26" t="str">
        <f t="shared" si="115"/>
        <v/>
      </c>
      <c r="P412" s="25" t="str">
        <f t="shared" si="116"/>
        <v/>
      </c>
      <c r="Q412" s="27" t="str">
        <f t="shared" si="119"/>
        <v/>
      </c>
      <c r="R412" s="26" t="str">
        <f t="shared" si="120"/>
        <v/>
      </c>
      <c r="S412" s="23" t="str">
        <f>IF(H412=1,VLOOKUP(COUNTIF($H$2:H412,H412),Specyfikacja!$A$5:$D$99,2,0),IF(H412=2,VLOOKUP(COUNTIF($H$2:H412,H412),Specyfikacja!$A$5:$K$99,9,0),""))</f>
        <v/>
      </c>
      <c r="T412" s="23" t="str">
        <f>IF(H412=1,VLOOKUP(COUNTIF($H$2:H412,H412),Specyfikacja!$A$5:$D$99,3,0),IF(H412=2,VLOOKUP(COUNTIF($H$2:H412,H412),Specyfikacja!$A$5:$K$99,10,0),""))</f>
        <v/>
      </c>
      <c r="U412" s="23" t="str">
        <f>SUBSTITUTE(SUBSTITUTE(IF(H412=1,VLOOKUP(COUNTIF($H$2:H412,H412),Specyfikacja!$A$5:$D$99,4,0),IF(H412=2,VLOOKUP(COUNTIF($H$2:H412,H412),Specyfikacja!$A$5:$K$99,11,0),"")),"Tak","YES"),"Nie","NO")</f>
        <v/>
      </c>
    </row>
    <row r="413" spans="1:21">
      <c r="A413" s="13"/>
      <c r="B413" s="13"/>
      <c r="C413" s="13"/>
      <c r="D413" s="13"/>
      <c r="H413" s="24" t="str">
        <f>IFERROR(IF(COUNTIFS($H$1:H412,H412)&gt;=VLOOKUP(H412,$A$2:$D$309,4,0),IF(H412=MAX($A$2:$A$317),"",Lista!H412+1),H412),"")</f>
        <v/>
      </c>
      <c r="I413" s="22" t="str">
        <f t="shared" si="111"/>
        <v/>
      </c>
      <c r="J413" s="24" t="str">
        <f t="shared" si="112"/>
        <v/>
      </c>
      <c r="K413" s="25" t="str">
        <f t="shared" si="117"/>
        <v/>
      </c>
      <c r="L413" s="26" t="str">
        <f t="shared" si="118"/>
        <v/>
      </c>
      <c r="M413" s="26" t="str">
        <f t="shared" si="113"/>
        <v/>
      </c>
      <c r="N413" s="26" t="str">
        <f t="shared" si="114"/>
        <v/>
      </c>
      <c r="O413" s="26" t="str">
        <f t="shared" si="115"/>
        <v/>
      </c>
      <c r="P413" s="25" t="str">
        <f t="shared" si="116"/>
        <v/>
      </c>
      <c r="Q413" s="27" t="str">
        <f t="shared" si="119"/>
        <v/>
      </c>
      <c r="R413" s="26" t="str">
        <f t="shared" si="120"/>
        <v/>
      </c>
      <c r="S413" s="23" t="str">
        <f>IF(H413=1,VLOOKUP(COUNTIF($H$2:H413,H413),Specyfikacja!$A$5:$D$99,2,0),IF(H413=2,VLOOKUP(COUNTIF($H$2:H413,H413),Specyfikacja!$A$5:$K$99,9,0),""))</f>
        <v/>
      </c>
      <c r="T413" s="23" t="str">
        <f>IF(H413=1,VLOOKUP(COUNTIF($H$2:H413,H413),Specyfikacja!$A$5:$D$99,3,0),IF(H413=2,VLOOKUP(COUNTIF($H$2:H413,H413),Specyfikacja!$A$5:$K$99,10,0),""))</f>
        <v/>
      </c>
      <c r="U413" s="23" t="str">
        <f>SUBSTITUTE(SUBSTITUTE(IF(H413=1,VLOOKUP(COUNTIF($H$2:H413,H413),Specyfikacja!$A$5:$D$99,4,0),IF(H413=2,VLOOKUP(COUNTIF($H$2:H413,H413),Specyfikacja!$A$5:$K$99,11,0),"")),"Tak","YES"),"Nie","NO")</f>
        <v/>
      </c>
    </row>
    <row r="414" spans="1:21">
      <c r="A414" s="13"/>
      <c r="B414" s="13"/>
      <c r="C414" s="13"/>
      <c r="D414" s="13"/>
      <c r="H414" s="24" t="str">
        <f>IFERROR(IF(COUNTIFS($H$1:H413,H413)&gt;=VLOOKUP(H413,$A$2:$D$309,4,0),IF(H413=MAX($A$2:$A$317),"",Lista!H413+1),H413),"")</f>
        <v/>
      </c>
      <c r="I414" s="22" t="str">
        <f t="shared" si="111"/>
        <v/>
      </c>
      <c r="J414" s="24" t="str">
        <f t="shared" si="112"/>
        <v/>
      </c>
      <c r="K414" s="25" t="str">
        <f t="shared" si="117"/>
        <v/>
      </c>
      <c r="L414" s="26" t="str">
        <f t="shared" si="118"/>
        <v/>
      </c>
      <c r="M414" s="26" t="str">
        <f t="shared" si="113"/>
        <v/>
      </c>
      <c r="N414" s="26" t="str">
        <f t="shared" si="114"/>
        <v/>
      </c>
      <c r="O414" s="26" t="str">
        <f t="shared" si="115"/>
        <v/>
      </c>
      <c r="P414" s="25" t="str">
        <f t="shared" si="116"/>
        <v/>
      </c>
      <c r="Q414" s="27" t="str">
        <f t="shared" si="119"/>
        <v/>
      </c>
      <c r="R414" s="26" t="str">
        <f t="shared" si="120"/>
        <v/>
      </c>
      <c r="S414" s="23" t="str">
        <f>IF(H414=1,VLOOKUP(COUNTIF($H$2:H414,H414),Specyfikacja!$A$5:$D$99,2,0),IF(H414=2,VLOOKUP(COUNTIF($H$2:H414,H414),Specyfikacja!$A$5:$K$99,9,0),""))</f>
        <v/>
      </c>
      <c r="T414" s="23" t="str">
        <f>IF(H414=1,VLOOKUP(COUNTIF($H$2:H414,H414),Specyfikacja!$A$5:$D$99,3,0),IF(H414=2,VLOOKUP(COUNTIF($H$2:H414,H414),Specyfikacja!$A$5:$K$99,10,0),""))</f>
        <v/>
      </c>
      <c r="U414" s="23" t="str">
        <f>SUBSTITUTE(SUBSTITUTE(IF(H414=1,VLOOKUP(COUNTIF($H$2:H414,H414),Specyfikacja!$A$5:$D$99,4,0),IF(H414=2,VLOOKUP(COUNTIF($H$2:H414,H414),Specyfikacja!$A$5:$K$99,11,0),"")),"Tak","YES"),"Nie","NO")</f>
        <v/>
      </c>
    </row>
    <row r="415" spans="1:21">
      <c r="A415" s="13"/>
      <c r="B415" s="13"/>
      <c r="C415" s="13"/>
      <c r="D415" s="13"/>
      <c r="H415" s="24" t="str">
        <f>IFERROR(IF(COUNTIFS($H$1:H414,H414)&gt;=VLOOKUP(H414,$A$2:$D$309,4,0),IF(H414=MAX($A$2:$A$317),"",Lista!H414+1),H414),"")</f>
        <v/>
      </c>
      <c r="I415" s="22" t="str">
        <f t="shared" si="111"/>
        <v/>
      </c>
      <c r="J415" s="24" t="str">
        <f t="shared" si="112"/>
        <v/>
      </c>
      <c r="K415" s="25" t="str">
        <f t="shared" si="117"/>
        <v/>
      </c>
      <c r="L415" s="26" t="str">
        <f t="shared" si="118"/>
        <v/>
      </c>
      <c r="M415" s="26" t="str">
        <f t="shared" si="113"/>
        <v/>
      </c>
      <c r="N415" s="26" t="str">
        <f t="shared" si="114"/>
        <v/>
      </c>
      <c r="O415" s="26" t="str">
        <f t="shared" si="115"/>
        <v/>
      </c>
      <c r="P415" s="25" t="str">
        <f t="shared" si="116"/>
        <v/>
      </c>
      <c r="Q415" s="27" t="str">
        <f t="shared" si="119"/>
        <v/>
      </c>
      <c r="R415" s="26" t="str">
        <f t="shared" si="120"/>
        <v/>
      </c>
      <c r="S415" s="23" t="str">
        <f>IF(H415=1,VLOOKUP(COUNTIF($H$2:H415,H415),Specyfikacja!$A$5:$D$99,2,0),IF(H415=2,VLOOKUP(COUNTIF($H$2:H415,H415),Specyfikacja!$A$5:$K$99,9,0),""))</f>
        <v/>
      </c>
      <c r="T415" s="23" t="str">
        <f>IF(H415=1,VLOOKUP(COUNTIF($H$2:H415,H415),Specyfikacja!$A$5:$D$99,3,0),IF(H415=2,VLOOKUP(COUNTIF($H$2:H415,H415),Specyfikacja!$A$5:$K$99,10,0),""))</f>
        <v/>
      </c>
      <c r="U415" s="23" t="str">
        <f>SUBSTITUTE(SUBSTITUTE(IF(H415=1,VLOOKUP(COUNTIF($H$2:H415,H415),Specyfikacja!$A$5:$D$99,4,0),IF(H415=2,VLOOKUP(COUNTIF($H$2:H415,H415),Specyfikacja!$A$5:$K$99,11,0),"")),"Tak","YES"),"Nie","NO")</f>
        <v/>
      </c>
    </row>
    <row r="416" spans="1:21">
      <c r="A416" s="13"/>
      <c r="B416" s="13"/>
      <c r="C416" s="13"/>
      <c r="D416" s="13"/>
      <c r="H416" s="24" t="str">
        <f>IFERROR(IF(COUNTIFS($H$1:H415,H415)&gt;=VLOOKUP(H415,$A$2:$D$309,4,0),IF(H415=MAX($A$2:$A$317),"",Lista!H415+1),H415),"")</f>
        <v/>
      </c>
      <c r="I416" s="22" t="str">
        <f t="shared" si="111"/>
        <v/>
      </c>
      <c r="J416" s="24" t="str">
        <f t="shared" si="112"/>
        <v/>
      </c>
      <c r="K416" s="25" t="str">
        <f t="shared" si="117"/>
        <v/>
      </c>
      <c r="L416" s="26" t="str">
        <f t="shared" si="118"/>
        <v/>
      </c>
      <c r="M416" s="26" t="str">
        <f t="shared" si="113"/>
        <v/>
      </c>
      <c r="N416" s="26" t="str">
        <f t="shared" si="114"/>
        <v/>
      </c>
      <c r="O416" s="26" t="str">
        <f t="shared" si="115"/>
        <v/>
      </c>
      <c r="P416" s="25" t="str">
        <f t="shared" si="116"/>
        <v/>
      </c>
      <c r="Q416" s="27" t="str">
        <f t="shared" si="119"/>
        <v/>
      </c>
      <c r="R416" s="26" t="str">
        <f t="shared" si="120"/>
        <v/>
      </c>
      <c r="S416" s="23" t="str">
        <f>IF(H416=1,VLOOKUP(COUNTIF($H$2:H416,H416),Specyfikacja!$A$5:$D$99,2,0),IF(H416=2,VLOOKUP(COUNTIF($H$2:H416,H416),Specyfikacja!$A$5:$K$99,9,0),""))</f>
        <v/>
      </c>
      <c r="T416" s="23" t="str">
        <f>IF(H416=1,VLOOKUP(COUNTIF($H$2:H416,H416),Specyfikacja!$A$5:$D$99,3,0),IF(H416=2,VLOOKUP(COUNTIF($H$2:H416,H416),Specyfikacja!$A$5:$K$99,10,0),""))</f>
        <v/>
      </c>
      <c r="U416" s="23" t="str">
        <f>SUBSTITUTE(SUBSTITUTE(IF(H416=1,VLOOKUP(COUNTIF($H$2:H416,H416),Specyfikacja!$A$5:$D$99,4,0),IF(H416=2,VLOOKUP(COUNTIF($H$2:H416,H416),Specyfikacja!$A$5:$K$99,11,0),"")),"Tak","YES"),"Nie","NO")</f>
        <v/>
      </c>
    </row>
    <row r="417" spans="1:21">
      <c r="A417" s="13"/>
      <c r="B417" s="13"/>
      <c r="C417" s="13"/>
      <c r="D417" s="13"/>
      <c r="H417" s="24" t="str">
        <f>IFERROR(IF(COUNTIFS($H$1:H416,H416)&gt;=VLOOKUP(H416,$A$2:$D$309,4,0),IF(H416=MAX($A$2:$A$317),"",Lista!H416+1),H416),"")</f>
        <v/>
      </c>
      <c r="I417" s="22" t="str">
        <f t="shared" si="111"/>
        <v/>
      </c>
      <c r="J417" s="24" t="str">
        <f t="shared" si="112"/>
        <v/>
      </c>
      <c r="K417" s="25" t="str">
        <f t="shared" si="117"/>
        <v/>
      </c>
      <c r="L417" s="26" t="str">
        <f t="shared" si="118"/>
        <v/>
      </c>
      <c r="M417" s="26" t="str">
        <f t="shared" si="113"/>
        <v/>
      </c>
      <c r="N417" s="26" t="str">
        <f t="shared" si="114"/>
        <v/>
      </c>
      <c r="O417" s="26" t="str">
        <f t="shared" si="115"/>
        <v/>
      </c>
      <c r="P417" s="25" t="str">
        <f t="shared" si="116"/>
        <v/>
      </c>
      <c r="Q417" s="27" t="str">
        <f t="shared" si="119"/>
        <v/>
      </c>
      <c r="R417" s="26" t="str">
        <f t="shared" si="120"/>
        <v/>
      </c>
      <c r="S417" s="23" t="str">
        <f>IF(H417=1,VLOOKUP(COUNTIF($H$2:H417,H417),Specyfikacja!$A$5:$D$99,2,0),IF(H417=2,VLOOKUP(COUNTIF($H$2:H417,H417),Specyfikacja!$A$5:$K$99,9,0),""))</f>
        <v/>
      </c>
      <c r="T417" s="23" t="str">
        <f>IF(H417=1,VLOOKUP(COUNTIF($H$2:H417,H417),Specyfikacja!$A$5:$D$99,3,0),IF(H417=2,VLOOKUP(COUNTIF($H$2:H417,H417),Specyfikacja!$A$5:$K$99,10,0),""))</f>
        <v/>
      </c>
      <c r="U417" s="23" t="str">
        <f>SUBSTITUTE(SUBSTITUTE(IF(H417=1,VLOOKUP(COUNTIF($H$2:H417,H417),Specyfikacja!$A$5:$D$99,4,0),IF(H417=2,VLOOKUP(COUNTIF($H$2:H417,H417),Specyfikacja!$A$5:$K$99,11,0),"")),"Tak","YES"),"Nie","NO")</f>
        <v/>
      </c>
    </row>
    <row r="418" spans="1:21">
      <c r="A418" s="13"/>
      <c r="B418" s="13"/>
      <c r="C418" s="13"/>
      <c r="D418" s="13"/>
      <c r="H418" s="24" t="str">
        <f>IFERROR(IF(COUNTIFS($H$1:H417,H417)&gt;=VLOOKUP(H417,$A$2:$D$309,4,0),IF(H417=MAX($A$2:$A$317),"",Lista!H417+1),H417),"")</f>
        <v/>
      </c>
      <c r="I418" s="22" t="str">
        <f t="shared" si="111"/>
        <v/>
      </c>
      <c r="J418" s="24" t="str">
        <f t="shared" si="112"/>
        <v/>
      </c>
      <c r="K418" s="25" t="str">
        <f t="shared" si="117"/>
        <v/>
      </c>
      <c r="L418" s="26" t="str">
        <f t="shared" si="118"/>
        <v/>
      </c>
      <c r="M418" s="26" t="str">
        <f t="shared" si="113"/>
        <v/>
      </c>
      <c r="N418" s="26" t="str">
        <f t="shared" si="114"/>
        <v/>
      </c>
      <c r="O418" s="26" t="str">
        <f t="shared" si="115"/>
        <v/>
      </c>
      <c r="P418" s="25" t="str">
        <f t="shared" si="116"/>
        <v/>
      </c>
      <c r="Q418" s="27" t="str">
        <f t="shared" si="119"/>
        <v/>
      </c>
      <c r="R418" s="26" t="str">
        <f t="shared" si="120"/>
        <v/>
      </c>
      <c r="S418" s="23" t="str">
        <f>IF(H418=1,VLOOKUP(COUNTIF($H$2:H418,H418),Specyfikacja!$A$5:$D$99,2,0),IF(H418=2,VLOOKUP(COUNTIF($H$2:H418,H418),Specyfikacja!$A$5:$K$99,9,0),""))</f>
        <v/>
      </c>
      <c r="T418" s="23" t="str">
        <f>IF(H418=1,VLOOKUP(COUNTIF($H$2:H418,H418),Specyfikacja!$A$5:$D$99,3,0),IF(H418=2,VLOOKUP(COUNTIF($H$2:H418,H418),Specyfikacja!$A$5:$K$99,10,0),""))</f>
        <v/>
      </c>
      <c r="U418" s="23" t="str">
        <f>SUBSTITUTE(SUBSTITUTE(IF(H418=1,VLOOKUP(COUNTIF($H$2:H418,H418),Specyfikacja!$A$5:$D$99,4,0),IF(H418=2,VLOOKUP(COUNTIF($H$2:H418,H418),Specyfikacja!$A$5:$K$99,11,0),"")),"Tak","YES"),"Nie","NO")</f>
        <v/>
      </c>
    </row>
    <row r="419" spans="1:21">
      <c r="A419" s="13"/>
      <c r="B419" s="13"/>
      <c r="C419" s="13"/>
      <c r="D419" s="13"/>
      <c r="H419" s="24" t="str">
        <f>IFERROR(IF(COUNTIFS($H$1:H418,H418)&gt;=VLOOKUP(H418,$A$2:$D$309,4,0),IF(H418=MAX($A$2:$A$317),"",Lista!H418+1),H418),"")</f>
        <v/>
      </c>
      <c r="I419" s="22" t="str">
        <f t="shared" si="111"/>
        <v/>
      </c>
      <c r="J419" s="24" t="str">
        <f t="shared" si="112"/>
        <v/>
      </c>
      <c r="K419" s="25" t="str">
        <f t="shared" si="117"/>
        <v/>
      </c>
      <c r="L419" s="26" t="str">
        <f t="shared" si="118"/>
        <v/>
      </c>
      <c r="M419" s="26" t="str">
        <f t="shared" si="113"/>
        <v/>
      </c>
      <c r="N419" s="26" t="str">
        <f t="shared" si="114"/>
        <v/>
      </c>
      <c r="O419" s="26" t="str">
        <f t="shared" si="115"/>
        <v/>
      </c>
      <c r="P419" s="25" t="str">
        <f t="shared" si="116"/>
        <v/>
      </c>
      <c r="Q419" s="27" t="str">
        <f t="shared" si="119"/>
        <v/>
      </c>
      <c r="R419" s="26" t="str">
        <f t="shared" si="120"/>
        <v/>
      </c>
      <c r="S419" s="23" t="str">
        <f>IF(H419=1,VLOOKUP(COUNTIF($H$2:H419,H419),Specyfikacja!$A$5:$D$99,2,0),IF(H419=2,VLOOKUP(COUNTIF($H$2:H419,H419),Specyfikacja!$A$5:$K$99,9,0),""))</f>
        <v/>
      </c>
      <c r="T419" s="23" t="str">
        <f>IF(H419=1,VLOOKUP(COUNTIF($H$2:H419,H419),Specyfikacja!$A$5:$D$99,3,0),IF(H419=2,VLOOKUP(COUNTIF($H$2:H419,H419),Specyfikacja!$A$5:$K$99,10,0),""))</f>
        <v/>
      </c>
      <c r="U419" s="23" t="str">
        <f>SUBSTITUTE(SUBSTITUTE(IF(H419=1,VLOOKUP(COUNTIF($H$2:H419,H419),Specyfikacja!$A$5:$D$99,4,0),IF(H419=2,VLOOKUP(COUNTIF($H$2:H419,H419),Specyfikacja!$A$5:$K$99,11,0),"")),"Tak","YES"),"Nie","NO")</f>
        <v/>
      </c>
    </row>
    <row r="420" spans="1:21">
      <c r="A420" s="13"/>
      <c r="B420" s="13"/>
      <c r="C420" s="13"/>
      <c r="D420" s="13"/>
      <c r="H420" s="24" t="str">
        <f>IFERROR(IF(COUNTIFS($H$1:H419,H419)&gt;=VLOOKUP(H419,$A$2:$D$309,4,0),IF(H419=MAX($A$2:$A$317),"",Lista!H419+1),H419),"")</f>
        <v/>
      </c>
      <c r="I420" s="22" t="str">
        <f t="shared" si="111"/>
        <v/>
      </c>
      <c r="J420" s="24" t="str">
        <f t="shared" si="112"/>
        <v/>
      </c>
      <c r="K420" s="25" t="str">
        <f t="shared" si="117"/>
        <v/>
      </c>
      <c r="L420" s="26" t="str">
        <f t="shared" si="118"/>
        <v/>
      </c>
      <c r="M420" s="26" t="str">
        <f t="shared" si="113"/>
        <v/>
      </c>
      <c r="N420" s="26" t="str">
        <f t="shared" si="114"/>
        <v/>
      </c>
      <c r="O420" s="26" t="str">
        <f t="shared" si="115"/>
        <v/>
      </c>
      <c r="P420" s="25" t="str">
        <f t="shared" si="116"/>
        <v/>
      </c>
      <c r="Q420" s="27" t="str">
        <f t="shared" si="119"/>
        <v/>
      </c>
      <c r="R420" s="26" t="str">
        <f t="shared" si="120"/>
        <v/>
      </c>
      <c r="S420" s="23" t="str">
        <f>IF(H420=1,VLOOKUP(COUNTIF($H$2:H420,H420),Specyfikacja!$A$5:$D$99,2,0),IF(H420=2,VLOOKUP(COUNTIF($H$2:H420,H420),Specyfikacja!$A$5:$K$99,9,0),""))</f>
        <v/>
      </c>
      <c r="T420" s="23" t="str">
        <f>IF(H420=1,VLOOKUP(COUNTIF($H$2:H420,H420),Specyfikacja!$A$5:$D$99,3,0),IF(H420=2,VLOOKUP(COUNTIF($H$2:H420,H420),Specyfikacja!$A$5:$K$99,10,0),""))</f>
        <v/>
      </c>
      <c r="U420" s="23" t="str">
        <f>SUBSTITUTE(SUBSTITUTE(IF(H420=1,VLOOKUP(COUNTIF($H$2:H420,H420),Specyfikacja!$A$5:$D$99,4,0),IF(H420=2,VLOOKUP(COUNTIF($H$2:H420,H420),Specyfikacja!$A$5:$K$99,11,0),"")),"Tak","YES"),"Nie","NO")</f>
        <v/>
      </c>
    </row>
    <row r="421" spans="1:21">
      <c r="A421" s="13"/>
      <c r="B421" s="13"/>
      <c r="C421" s="13"/>
      <c r="D421" s="13"/>
      <c r="H421" s="24" t="str">
        <f>IFERROR(IF(COUNTIFS($H$1:H420,H420)&gt;=VLOOKUP(H420,$A$2:$D$309,4,0),IF(H420=MAX($A$2:$A$317),"",Lista!H420+1),H420),"")</f>
        <v/>
      </c>
      <c r="I421" s="22" t="str">
        <f t="shared" si="111"/>
        <v/>
      </c>
      <c r="J421" s="24" t="str">
        <f t="shared" si="112"/>
        <v/>
      </c>
      <c r="K421" s="25" t="str">
        <f t="shared" si="117"/>
        <v/>
      </c>
      <c r="L421" s="26" t="str">
        <f t="shared" si="118"/>
        <v/>
      </c>
      <c r="M421" s="26" t="str">
        <f t="shared" si="113"/>
        <v/>
      </c>
      <c r="N421" s="26" t="str">
        <f t="shared" si="114"/>
        <v/>
      </c>
      <c r="O421" s="26" t="str">
        <f t="shared" si="115"/>
        <v/>
      </c>
      <c r="P421" s="25" t="str">
        <f t="shared" si="116"/>
        <v/>
      </c>
      <c r="Q421" s="27" t="str">
        <f t="shared" si="119"/>
        <v/>
      </c>
      <c r="R421" s="26" t="str">
        <f t="shared" si="120"/>
        <v/>
      </c>
      <c r="S421" s="23" t="str">
        <f>IF(H421=1,VLOOKUP(COUNTIF($H$2:H421,H421),Specyfikacja!$A$5:$D$99,2,0),IF(H421=2,VLOOKUP(COUNTIF($H$2:H421,H421),Specyfikacja!$A$5:$K$99,9,0),""))</f>
        <v/>
      </c>
      <c r="T421" s="23" t="str">
        <f>IF(H421=1,VLOOKUP(COUNTIF($H$2:H421,H421),Specyfikacja!$A$5:$D$99,3,0),IF(H421=2,VLOOKUP(COUNTIF($H$2:H421,H421),Specyfikacja!$A$5:$K$99,10,0),""))</f>
        <v/>
      </c>
      <c r="U421" s="23" t="str">
        <f>SUBSTITUTE(SUBSTITUTE(IF(H421=1,VLOOKUP(COUNTIF($H$2:H421,H421),Specyfikacja!$A$5:$D$99,4,0),IF(H421=2,VLOOKUP(COUNTIF($H$2:H421,H421),Specyfikacja!$A$5:$K$99,11,0),"")),"Tak","YES"),"Nie","NO")</f>
        <v/>
      </c>
    </row>
    <row r="422" spans="1:21">
      <c r="A422" s="13"/>
      <c r="B422" s="13"/>
      <c r="C422" s="13"/>
      <c r="D422" s="13"/>
      <c r="H422" s="24" t="str">
        <f>IFERROR(IF(COUNTIFS($H$1:H421,H421)&gt;=VLOOKUP(H421,$A$2:$D$309,4,0),IF(H421=MAX($A$2:$A$317),"",Lista!H421+1),H421),"")</f>
        <v/>
      </c>
      <c r="I422" s="22" t="str">
        <f t="shared" si="111"/>
        <v/>
      </c>
      <c r="J422" s="24" t="str">
        <f t="shared" si="112"/>
        <v/>
      </c>
      <c r="K422" s="25" t="str">
        <f t="shared" si="117"/>
        <v/>
      </c>
      <c r="L422" s="26" t="str">
        <f t="shared" si="118"/>
        <v/>
      </c>
      <c r="M422" s="26" t="str">
        <f t="shared" si="113"/>
        <v/>
      </c>
      <c r="N422" s="26" t="str">
        <f t="shared" si="114"/>
        <v/>
      </c>
      <c r="O422" s="26" t="str">
        <f t="shared" si="115"/>
        <v/>
      </c>
      <c r="P422" s="25" t="str">
        <f t="shared" si="116"/>
        <v/>
      </c>
      <c r="Q422" s="27" t="str">
        <f t="shared" si="119"/>
        <v/>
      </c>
      <c r="R422" s="26" t="str">
        <f t="shared" si="120"/>
        <v/>
      </c>
      <c r="S422" s="23" t="str">
        <f>IF(H422=1,VLOOKUP(COUNTIF($H$2:H422,H422),Specyfikacja!$A$5:$D$99,2,0),IF(H422=2,VLOOKUP(COUNTIF($H$2:H422,H422),Specyfikacja!$A$5:$K$99,9,0),""))</f>
        <v/>
      </c>
      <c r="T422" s="23" t="str">
        <f>IF(H422=1,VLOOKUP(COUNTIF($H$2:H422,H422),Specyfikacja!$A$5:$D$99,3,0),IF(H422=2,VLOOKUP(COUNTIF($H$2:H422,H422),Specyfikacja!$A$5:$K$99,10,0),""))</f>
        <v/>
      </c>
      <c r="U422" s="23" t="str">
        <f>SUBSTITUTE(SUBSTITUTE(IF(H422=1,VLOOKUP(COUNTIF($H$2:H422,H422),Specyfikacja!$A$5:$D$99,4,0),IF(H422=2,VLOOKUP(COUNTIF($H$2:H422,H422),Specyfikacja!$A$5:$K$99,11,0),"")),"Tak","YES"),"Nie","NO")</f>
        <v/>
      </c>
    </row>
    <row r="423" spans="1:21">
      <c r="A423" s="13"/>
      <c r="B423" s="13"/>
      <c r="C423" s="13"/>
      <c r="D423" s="13"/>
      <c r="H423" s="24" t="str">
        <f>IFERROR(IF(COUNTIFS($H$1:H422,H422)&gt;=VLOOKUP(H422,$A$2:$D$309,4,0),IF(H422=MAX($A$2:$A$317),"",Lista!H422+1),H422),"")</f>
        <v/>
      </c>
      <c r="I423" s="22" t="str">
        <f t="shared" si="111"/>
        <v/>
      </c>
      <c r="J423" s="24" t="str">
        <f t="shared" si="112"/>
        <v/>
      </c>
      <c r="K423" s="25" t="str">
        <f t="shared" si="117"/>
        <v/>
      </c>
      <c r="L423" s="26" t="str">
        <f t="shared" si="118"/>
        <v/>
      </c>
      <c r="M423" s="26" t="str">
        <f t="shared" si="113"/>
        <v/>
      </c>
      <c r="N423" s="26" t="str">
        <f t="shared" si="114"/>
        <v/>
      </c>
      <c r="O423" s="26" t="str">
        <f t="shared" si="115"/>
        <v/>
      </c>
      <c r="P423" s="25" t="str">
        <f t="shared" si="116"/>
        <v/>
      </c>
      <c r="Q423" s="27" t="str">
        <f t="shared" si="119"/>
        <v/>
      </c>
      <c r="R423" s="26" t="str">
        <f t="shared" si="120"/>
        <v/>
      </c>
      <c r="S423" s="23" t="str">
        <f>IF(H423=1,VLOOKUP(COUNTIF($H$2:H423,H423),Specyfikacja!$A$5:$D$99,2,0),IF(H423=2,VLOOKUP(COUNTIF($H$2:H423,H423),Specyfikacja!$A$5:$K$99,9,0),""))</f>
        <v/>
      </c>
      <c r="T423" s="23" t="str">
        <f>IF(H423=1,VLOOKUP(COUNTIF($H$2:H423,H423),Specyfikacja!$A$5:$D$99,3,0),IF(H423=2,VLOOKUP(COUNTIF($H$2:H423,H423),Specyfikacja!$A$5:$K$99,10,0),""))</f>
        <v/>
      </c>
      <c r="U423" s="23" t="str">
        <f>SUBSTITUTE(SUBSTITUTE(IF(H423=1,VLOOKUP(COUNTIF($H$2:H423,H423),Specyfikacja!$A$5:$D$99,4,0),IF(H423=2,VLOOKUP(COUNTIF($H$2:H423,H423),Specyfikacja!$A$5:$K$99,11,0),"")),"Tak","YES"),"Nie","NO")</f>
        <v/>
      </c>
    </row>
    <row r="424" spans="1:21">
      <c r="A424" s="13"/>
      <c r="B424" s="13"/>
      <c r="C424" s="13"/>
      <c r="D424" s="13"/>
      <c r="H424" s="24" t="str">
        <f>IFERROR(IF(COUNTIFS($H$1:H423,H423)&gt;=VLOOKUP(H423,$A$2:$D$309,4,0),IF(H423=MAX($A$2:$A$317),"",Lista!H423+1),H423),"")</f>
        <v/>
      </c>
      <c r="I424" s="22" t="str">
        <f t="shared" si="111"/>
        <v/>
      </c>
      <c r="J424" s="24" t="str">
        <f t="shared" si="112"/>
        <v/>
      </c>
      <c r="K424" s="25" t="str">
        <f t="shared" si="117"/>
        <v/>
      </c>
      <c r="L424" s="26" t="str">
        <f t="shared" si="118"/>
        <v/>
      </c>
      <c r="M424" s="26" t="str">
        <f t="shared" si="113"/>
        <v/>
      </c>
      <c r="N424" s="26" t="str">
        <f t="shared" si="114"/>
        <v/>
      </c>
      <c r="O424" s="26" t="str">
        <f t="shared" si="115"/>
        <v/>
      </c>
      <c r="P424" s="25" t="str">
        <f t="shared" si="116"/>
        <v/>
      </c>
      <c r="Q424" s="27" t="str">
        <f t="shared" si="119"/>
        <v/>
      </c>
      <c r="R424" s="26" t="str">
        <f t="shared" si="120"/>
        <v/>
      </c>
      <c r="S424" s="23" t="str">
        <f>IF(H424=1,VLOOKUP(COUNTIF($H$2:H424,H424),Specyfikacja!$A$5:$D$99,2,0),IF(H424=2,VLOOKUP(COUNTIF($H$2:H424,H424),Specyfikacja!$A$5:$K$99,9,0),""))</f>
        <v/>
      </c>
      <c r="T424" s="23" t="str">
        <f>IF(H424=1,VLOOKUP(COUNTIF($H$2:H424,H424),Specyfikacja!$A$5:$D$99,3,0),IF(H424=2,VLOOKUP(COUNTIF($H$2:H424,H424),Specyfikacja!$A$5:$K$99,10,0),""))</f>
        <v/>
      </c>
      <c r="U424" s="23" t="str">
        <f>SUBSTITUTE(SUBSTITUTE(IF(H424=1,VLOOKUP(COUNTIF($H$2:H424,H424),Specyfikacja!$A$5:$D$99,4,0),IF(H424=2,VLOOKUP(COUNTIF($H$2:H424,H424),Specyfikacja!$A$5:$K$99,11,0),"")),"Tak","YES"),"Nie","NO")</f>
        <v/>
      </c>
    </row>
    <row r="425" spans="1:21">
      <c r="A425" s="13"/>
      <c r="B425" s="13"/>
      <c r="C425" s="13"/>
      <c r="D425" s="13"/>
      <c r="H425" s="24" t="str">
        <f>IFERROR(IF(COUNTIFS($H$1:H424,H424)&gt;=VLOOKUP(H424,$A$2:$D$309,4,0),IF(H424=MAX($A$2:$A$317),"",Lista!H424+1),H424),"")</f>
        <v/>
      </c>
      <c r="I425" s="22" t="str">
        <f t="shared" si="111"/>
        <v/>
      </c>
      <c r="J425" s="24" t="str">
        <f t="shared" si="112"/>
        <v/>
      </c>
      <c r="K425" s="25" t="str">
        <f t="shared" si="117"/>
        <v/>
      </c>
      <c r="L425" s="26" t="str">
        <f t="shared" si="118"/>
        <v/>
      </c>
      <c r="M425" s="26" t="str">
        <f t="shared" si="113"/>
        <v/>
      </c>
      <c r="N425" s="26" t="str">
        <f t="shared" si="114"/>
        <v/>
      </c>
      <c r="O425" s="26" t="str">
        <f t="shared" si="115"/>
        <v/>
      </c>
      <c r="P425" s="25" t="str">
        <f t="shared" si="116"/>
        <v/>
      </c>
      <c r="Q425" s="27" t="str">
        <f t="shared" si="119"/>
        <v/>
      </c>
      <c r="R425" s="26" t="str">
        <f t="shared" si="120"/>
        <v/>
      </c>
      <c r="S425" s="23" t="str">
        <f>IF(H425=1,VLOOKUP(COUNTIF($H$2:H425,H425),Specyfikacja!$A$5:$D$99,2,0),IF(H425=2,VLOOKUP(COUNTIF($H$2:H425,H425),Specyfikacja!$A$5:$K$99,9,0),""))</f>
        <v/>
      </c>
      <c r="T425" s="23" t="str">
        <f>IF(H425=1,VLOOKUP(COUNTIF($H$2:H425,H425),Specyfikacja!$A$5:$D$99,3,0),IF(H425=2,VLOOKUP(COUNTIF($H$2:H425,H425),Specyfikacja!$A$5:$K$99,10,0),""))</f>
        <v/>
      </c>
      <c r="U425" s="23" t="str">
        <f>SUBSTITUTE(SUBSTITUTE(IF(H425=1,VLOOKUP(COUNTIF($H$2:H425,H425),Specyfikacja!$A$5:$D$99,4,0),IF(H425=2,VLOOKUP(COUNTIF($H$2:H425,H425),Specyfikacja!$A$5:$K$99,11,0),"")),"Tak","YES"),"Nie","NO")</f>
        <v/>
      </c>
    </row>
    <row r="426" spans="1:21">
      <c r="A426" s="13"/>
      <c r="B426" s="13"/>
      <c r="C426" s="13"/>
      <c r="D426" s="13"/>
      <c r="H426" s="24" t="str">
        <f>IFERROR(IF(COUNTIFS($H$1:H425,H425)&gt;=VLOOKUP(H425,$A$2:$D$309,4,0),IF(H425=MAX($A$2:$A$317),"",Lista!H425+1),H425),"")</f>
        <v/>
      </c>
      <c r="I426" s="22" t="str">
        <f t="shared" si="111"/>
        <v/>
      </c>
      <c r="J426" s="24" t="str">
        <f t="shared" si="112"/>
        <v/>
      </c>
      <c r="K426" s="25" t="str">
        <f t="shared" si="117"/>
        <v/>
      </c>
      <c r="L426" s="26" t="str">
        <f t="shared" si="118"/>
        <v/>
      </c>
      <c r="M426" s="26" t="str">
        <f t="shared" si="113"/>
        <v/>
      </c>
      <c r="N426" s="26" t="str">
        <f t="shared" si="114"/>
        <v/>
      </c>
      <c r="O426" s="26" t="str">
        <f t="shared" si="115"/>
        <v/>
      </c>
      <c r="P426" s="25" t="str">
        <f t="shared" si="116"/>
        <v/>
      </c>
      <c r="Q426" s="27" t="str">
        <f t="shared" si="119"/>
        <v/>
      </c>
      <c r="R426" s="26" t="str">
        <f t="shared" si="120"/>
        <v/>
      </c>
      <c r="S426" s="23" t="str">
        <f>IF(H426=1,VLOOKUP(COUNTIF($H$2:H426,H426),Specyfikacja!$A$5:$D$99,2,0),IF(H426=2,VLOOKUP(COUNTIF($H$2:H426,H426),Specyfikacja!$A$5:$K$99,9,0),""))</f>
        <v/>
      </c>
      <c r="T426" s="23" t="str">
        <f>IF(H426=1,VLOOKUP(COUNTIF($H$2:H426,H426),Specyfikacja!$A$5:$D$99,3,0),IF(H426=2,VLOOKUP(COUNTIF($H$2:H426,H426),Specyfikacja!$A$5:$K$99,10,0),""))</f>
        <v/>
      </c>
      <c r="U426" s="23" t="str">
        <f>SUBSTITUTE(SUBSTITUTE(IF(H426=1,VLOOKUP(COUNTIF($H$2:H426,H426),Specyfikacja!$A$5:$D$99,4,0),IF(H426=2,VLOOKUP(COUNTIF($H$2:H426,H426),Specyfikacja!$A$5:$K$99,11,0),"")),"Tak","YES"),"Nie","NO")</f>
        <v/>
      </c>
    </row>
    <row r="427" spans="1:21">
      <c r="A427" s="13"/>
      <c r="B427" s="13"/>
      <c r="C427" s="13"/>
      <c r="D427" s="13"/>
    </row>
    <row r="428" spans="1:21">
      <c r="A428" s="13"/>
      <c r="B428" s="13"/>
      <c r="C428" s="13"/>
      <c r="D428" s="13"/>
    </row>
    <row r="429" spans="1:21">
      <c r="A429" s="13"/>
      <c r="B429" s="13"/>
      <c r="C429" s="13"/>
      <c r="D429" s="13"/>
    </row>
    <row r="430" spans="1:21">
      <c r="A430" s="13"/>
      <c r="B430" s="13"/>
      <c r="C430" s="13"/>
      <c r="D430" s="13"/>
    </row>
    <row r="431" spans="1:21">
      <c r="A431" s="13"/>
      <c r="B431" s="13"/>
      <c r="C431" s="13"/>
      <c r="D431" s="13"/>
    </row>
    <row r="432" spans="1:21">
      <c r="A432" s="13"/>
      <c r="B432" s="13"/>
      <c r="C432" s="13"/>
      <c r="D432" s="13"/>
    </row>
    <row r="433" spans="1:4">
      <c r="A433" s="13"/>
      <c r="B433" s="13"/>
      <c r="C433" s="13"/>
      <c r="D433" s="13"/>
    </row>
    <row r="434" spans="1:4">
      <c r="A434" s="13"/>
      <c r="B434" s="13"/>
      <c r="C434" s="13"/>
      <c r="D434" s="13"/>
    </row>
    <row r="435" spans="1:4">
      <c r="A435" s="13"/>
      <c r="B435" s="13"/>
      <c r="C435" s="13"/>
      <c r="D435" s="13"/>
    </row>
    <row r="436" spans="1:4">
      <c r="A436" s="13"/>
      <c r="B436" s="13"/>
      <c r="C436" s="13"/>
      <c r="D436" s="13"/>
    </row>
    <row r="437" spans="1:4">
      <c r="A437" s="13"/>
      <c r="B437" s="13"/>
      <c r="C437" s="13"/>
      <c r="D437" s="13"/>
    </row>
    <row r="438" spans="1:4">
      <c r="A438" s="13"/>
      <c r="B438" s="13"/>
      <c r="C438" s="13"/>
      <c r="D438" s="13"/>
    </row>
    <row r="439" spans="1:4">
      <c r="A439" s="13"/>
      <c r="B439" s="13"/>
      <c r="C439" s="13"/>
      <c r="D439" s="13"/>
    </row>
    <row r="440" spans="1:4">
      <c r="A440" s="13"/>
      <c r="B440" s="13"/>
      <c r="C440" s="13"/>
      <c r="D440" s="13"/>
    </row>
    <row r="441" spans="1:4">
      <c r="A441" s="13"/>
      <c r="B441" s="13"/>
      <c r="C441" s="13"/>
      <c r="D441" s="13"/>
    </row>
    <row r="442" spans="1:4">
      <c r="A442" s="13"/>
      <c r="B442" s="13"/>
      <c r="C442" s="13"/>
      <c r="D442" s="13"/>
    </row>
    <row r="443" spans="1:4">
      <c r="A443" s="13"/>
      <c r="B443" s="13"/>
      <c r="C443" s="13"/>
      <c r="D443" s="13"/>
    </row>
    <row r="444" spans="1:4">
      <c r="A444" s="13"/>
      <c r="B444" s="13"/>
      <c r="C444" s="13"/>
      <c r="D444" s="13"/>
    </row>
    <row r="445" spans="1:4">
      <c r="A445" s="13"/>
      <c r="B445" s="13"/>
      <c r="C445" s="13"/>
      <c r="D445" s="13"/>
    </row>
    <row r="446" spans="1:4">
      <c r="A446" s="13"/>
      <c r="B446" s="13"/>
      <c r="C446" s="13"/>
      <c r="D446" s="13"/>
    </row>
    <row r="447" spans="1:4">
      <c r="A447" s="13"/>
      <c r="B447" s="13"/>
      <c r="C447" s="13"/>
      <c r="D447" s="13"/>
    </row>
    <row r="448" spans="1:4">
      <c r="A448" s="13"/>
      <c r="B448" s="13"/>
      <c r="C448" s="13"/>
      <c r="D448" s="13"/>
    </row>
    <row r="449" spans="1:4">
      <c r="A449" s="13"/>
      <c r="B449" s="13"/>
      <c r="C449" s="13"/>
      <c r="D449" s="13"/>
    </row>
    <row r="450" spans="1:4">
      <c r="A450" s="13"/>
      <c r="B450" s="13"/>
      <c r="C450" s="13"/>
      <c r="D450" s="13"/>
    </row>
    <row r="451" spans="1:4">
      <c r="A451" s="13"/>
      <c r="B451" s="13"/>
      <c r="C451" s="13"/>
      <c r="D451" s="13"/>
    </row>
    <row r="452" spans="1:4">
      <c r="A452" s="13"/>
      <c r="B452" s="13"/>
      <c r="C452" s="13"/>
      <c r="D452" s="13"/>
    </row>
    <row r="453" spans="1:4">
      <c r="A453" s="13"/>
      <c r="B453" s="13"/>
      <c r="C453" s="13"/>
      <c r="D453" s="13"/>
    </row>
    <row r="454" spans="1:4">
      <c r="A454" s="13"/>
      <c r="B454" s="13"/>
      <c r="C454" s="13"/>
      <c r="D454" s="13"/>
    </row>
    <row r="455" spans="1:4">
      <c r="A455" s="13"/>
      <c r="B455" s="13"/>
      <c r="C455" s="13"/>
      <c r="D455" s="13"/>
    </row>
    <row r="456" spans="1:4">
      <c r="A456" s="13"/>
      <c r="B456" s="13"/>
      <c r="C456" s="13"/>
      <c r="D456" s="13"/>
    </row>
    <row r="457" spans="1:4">
      <c r="A457" s="13"/>
      <c r="B457" s="13"/>
      <c r="C457" s="13"/>
      <c r="D457" s="13"/>
    </row>
    <row r="458" spans="1:4">
      <c r="A458" s="13"/>
      <c r="B458" s="13"/>
      <c r="C458" s="13"/>
      <c r="D458" s="13"/>
    </row>
    <row r="459" spans="1:4">
      <c r="A459" s="13"/>
      <c r="B459" s="13"/>
      <c r="C459" s="13"/>
      <c r="D459" s="13"/>
    </row>
    <row r="460" spans="1:4">
      <c r="A460" s="13"/>
      <c r="B460" s="13"/>
      <c r="C460" s="13"/>
      <c r="D460" s="13"/>
    </row>
    <row r="461" spans="1:4">
      <c r="A461" s="13"/>
      <c r="B461" s="13"/>
      <c r="C461" s="13"/>
      <c r="D461" s="13"/>
    </row>
    <row r="462" spans="1:4">
      <c r="A462" s="13"/>
      <c r="B462" s="13"/>
      <c r="C462" s="13"/>
      <c r="D462" s="13"/>
    </row>
    <row r="463" spans="1:4">
      <c r="B463" s="13"/>
      <c r="C463" s="13"/>
      <c r="D463" s="13"/>
    </row>
    <row r="464" spans="1:4">
      <c r="B464" s="13"/>
      <c r="C464" s="13"/>
      <c r="D464" s="13"/>
    </row>
    <row r="465" spans="2:4">
      <c r="B465" s="13"/>
      <c r="C465" s="13"/>
      <c r="D465" s="13"/>
    </row>
    <row r="466" spans="2:4">
      <c r="B466" s="13"/>
      <c r="C466" s="13"/>
      <c r="D466" s="13"/>
    </row>
    <row r="467" spans="2:4">
      <c r="B467" s="13"/>
      <c r="C467" s="13"/>
      <c r="D467" s="13"/>
    </row>
    <row r="468" spans="2:4">
      <c r="B468" s="13"/>
      <c r="C468" s="13"/>
      <c r="D468" s="13"/>
    </row>
    <row r="469" spans="2:4">
      <c r="B469" s="13"/>
      <c r="C469" s="13"/>
      <c r="D469" s="13"/>
    </row>
    <row r="470" spans="2:4">
      <c r="B470" s="13"/>
      <c r="C470" s="13"/>
    </row>
    <row r="471" spans="2:4">
      <c r="B471" s="13"/>
      <c r="C471" s="13"/>
    </row>
    <row r="472" spans="2:4">
      <c r="B472" s="13"/>
      <c r="C472" s="13"/>
    </row>
    <row r="473" spans="2:4">
      <c r="B473" s="13"/>
      <c r="C473" s="13"/>
    </row>
    <row r="474" spans="2:4">
      <c r="B474" s="13"/>
      <c r="C474" s="13"/>
    </row>
    <row r="475" spans="2:4">
      <c r="B475" s="13"/>
      <c r="C475" s="13"/>
    </row>
    <row r="476" spans="2:4">
      <c r="B476" s="13"/>
      <c r="C476" s="13"/>
    </row>
    <row r="477" spans="2:4">
      <c r="B477" s="13"/>
      <c r="C477" s="13"/>
    </row>
  </sheetData>
  <sheetProtection password="EF50" sheet="1" objects="1" scenarios="1"/>
  <autoFilter ref="W2:AE230"/>
  <pageMargins left="0.7" right="0.7" top="0.75" bottom="0.75" header="0.3" footer="0.3"/>
  <pageSetup paperSize="9" scale="73" orientation="portrait" r:id="rId1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1:Q62"/>
  <sheetViews>
    <sheetView workbookViewId="0">
      <selection activeCell="B2" sqref="B2:B5"/>
    </sheetView>
  </sheetViews>
  <sheetFormatPr defaultRowHeight="12.75"/>
  <cols>
    <col min="1" max="1" width="3.7109375" customWidth="1"/>
    <col min="2" max="2" width="15.140625" customWidth="1"/>
    <col min="3" max="3" width="22.28515625" bestFit="1" customWidth="1"/>
    <col min="4" max="4" width="23.7109375" customWidth="1"/>
    <col min="5" max="6" width="22.28515625" bestFit="1" customWidth="1"/>
    <col min="7" max="7" width="22.140625" bestFit="1" customWidth="1"/>
    <col min="8" max="9" width="22.28515625" bestFit="1" customWidth="1"/>
  </cols>
  <sheetData>
    <row r="1" spans="2:9">
      <c r="B1" s="248" t="s">
        <v>535</v>
      </c>
      <c r="C1" t="s">
        <v>44</v>
      </c>
      <c r="D1" t="s">
        <v>93</v>
      </c>
      <c r="E1" t="s">
        <v>156</v>
      </c>
      <c r="F1" t="s">
        <v>155</v>
      </c>
      <c r="G1" t="s">
        <v>154</v>
      </c>
      <c r="H1" t="s">
        <v>42</v>
      </c>
      <c r="I1" t="s">
        <v>41</v>
      </c>
    </row>
    <row r="2" spans="2:9">
      <c r="B2" t="str">
        <f t="shared" ref="B2:B14" si="0">MID(C2,6,4)&amp;RIGHT(C2,6)</f>
        <v>501-MPP200</v>
      </c>
      <c r="C2" s="248" t="s">
        <v>468</v>
      </c>
      <c r="D2" t="s">
        <v>472</v>
      </c>
      <c r="E2" s="248" t="s">
        <v>468</v>
      </c>
      <c r="F2" t="s">
        <v>472</v>
      </c>
      <c r="G2" t="s">
        <v>476</v>
      </c>
      <c r="H2" s="248" t="s">
        <v>480</v>
      </c>
      <c r="I2" t="s">
        <v>481</v>
      </c>
    </row>
    <row r="3" spans="2:9">
      <c r="B3" t="str">
        <f t="shared" si="0"/>
        <v>501-MPP100</v>
      </c>
      <c r="C3" t="s">
        <v>469</v>
      </c>
      <c r="D3" t="s">
        <v>473</v>
      </c>
      <c r="E3" t="s">
        <v>469</v>
      </c>
      <c r="F3" t="s">
        <v>473</v>
      </c>
      <c r="G3" t="s">
        <v>477</v>
      </c>
      <c r="H3" t="s">
        <v>482</v>
      </c>
      <c r="I3" t="s">
        <v>483</v>
      </c>
    </row>
    <row r="4" spans="2:9">
      <c r="B4" t="str">
        <f t="shared" si="0"/>
        <v>501-SPP200</v>
      </c>
      <c r="C4" t="s">
        <v>470</v>
      </c>
      <c r="D4" t="s">
        <v>474</v>
      </c>
      <c r="E4" t="s">
        <v>470</v>
      </c>
      <c r="F4" t="s">
        <v>474</v>
      </c>
      <c r="G4" t="s">
        <v>478</v>
      </c>
      <c r="H4" t="s">
        <v>484</v>
      </c>
      <c r="I4" t="s">
        <v>485</v>
      </c>
    </row>
    <row r="5" spans="2:9">
      <c r="B5" t="str">
        <f t="shared" si="0"/>
        <v>501-SPP100</v>
      </c>
      <c r="C5" t="s">
        <v>471</v>
      </c>
      <c r="D5" t="s">
        <v>475</v>
      </c>
      <c r="E5" t="s">
        <v>471</v>
      </c>
      <c r="F5" t="s">
        <v>475</v>
      </c>
      <c r="G5" t="s">
        <v>479</v>
      </c>
      <c r="H5" t="s">
        <v>486</v>
      </c>
      <c r="I5" t="s">
        <v>487</v>
      </c>
    </row>
    <row r="6" spans="2:9">
      <c r="B6" t="str">
        <f t="shared" si="0"/>
        <v>125-BPF000</v>
      </c>
      <c r="C6" t="s">
        <v>320</v>
      </c>
      <c r="D6" t="s">
        <v>460</v>
      </c>
      <c r="E6" t="s">
        <v>321</v>
      </c>
      <c r="F6" t="s">
        <v>322</v>
      </c>
      <c r="G6" t="s">
        <v>323</v>
      </c>
      <c r="H6" t="s">
        <v>777</v>
      </c>
      <c r="I6" t="s">
        <v>778</v>
      </c>
    </row>
    <row r="7" spans="2:9">
      <c r="B7" t="str">
        <f t="shared" si="0"/>
        <v>220-GSR200</v>
      </c>
      <c r="C7" t="s">
        <v>324</v>
      </c>
      <c r="D7" t="s">
        <v>461</v>
      </c>
      <c r="E7" t="s">
        <v>325</v>
      </c>
      <c r="F7" t="s">
        <v>326</v>
      </c>
      <c r="G7" t="s">
        <v>327</v>
      </c>
      <c r="H7" t="s">
        <v>328</v>
      </c>
      <c r="I7" t="s">
        <v>329</v>
      </c>
    </row>
    <row r="8" spans="2:9">
      <c r="B8" t="str">
        <f t="shared" si="0"/>
        <v>293-GSR200</v>
      </c>
      <c r="C8" t="s">
        <v>330</v>
      </c>
      <c r="D8" t="s">
        <v>462</v>
      </c>
      <c r="E8" t="s">
        <v>331</v>
      </c>
      <c r="F8" t="s">
        <v>332</v>
      </c>
      <c r="G8" s="248" t="s">
        <v>459</v>
      </c>
      <c r="H8" t="s">
        <v>333</v>
      </c>
      <c r="I8" t="s">
        <v>334</v>
      </c>
    </row>
    <row r="9" spans="2:9">
      <c r="B9" s="259" t="str">
        <f t="shared" si="0"/>
        <v>000-PSN200</v>
      </c>
      <c r="C9" t="s">
        <v>488</v>
      </c>
      <c r="D9" t="s">
        <v>489</v>
      </c>
      <c r="E9" t="s">
        <v>490</v>
      </c>
      <c r="F9" t="s">
        <v>491</v>
      </c>
      <c r="G9" t="s">
        <v>492</v>
      </c>
      <c r="H9" t="s">
        <v>493</v>
      </c>
      <c r="I9" t="s">
        <v>494</v>
      </c>
    </row>
    <row r="10" spans="2:9">
      <c r="B10" s="259" t="str">
        <f t="shared" si="0"/>
        <v>000-PSW200</v>
      </c>
      <c r="C10" t="s">
        <v>495</v>
      </c>
      <c r="D10" t="s">
        <v>496</v>
      </c>
      <c r="E10" t="s">
        <v>497</v>
      </c>
      <c r="F10" t="s">
        <v>498</v>
      </c>
      <c r="G10" t="s">
        <v>499</v>
      </c>
      <c r="H10" t="s">
        <v>500</v>
      </c>
      <c r="I10" t="s">
        <v>501</v>
      </c>
    </row>
    <row r="11" spans="2:9">
      <c r="B11" s="259" t="str">
        <f t="shared" si="0"/>
        <v>000-WTA200</v>
      </c>
      <c r="C11" t="s">
        <v>502</v>
      </c>
      <c r="D11" t="s">
        <v>503</v>
      </c>
      <c r="E11" t="s">
        <v>504</v>
      </c>
      <c r="F11" t="s">
        <v>505</v>
      </c>
      <c r="G11" t="s">
        <v>506</v>
      </c>
      <c r="H11" t="s">
        <v>507</v>
      </c>
      <c r="I11" t="s">
        <v>508</v>
      </c>
    </row>
    <row r="12" spans="2:9">
      <c r="B12" t="str">
        <f t="shared" si="0"/>
        <v>220-WTA200</v>
      </c>
      <c r="C12" t="s">
        <v>335</v>
      </c>
      <c r="D12" t="s">
        <v>463</v>
      </c>
      <c r="E12" t="s">
        <v>336</v>
      </c>
      <c r="F12" t="s">
        <v>337</v>
      </c>
      <c r="G12" t="s">
        <v>338</v>
      </c>
      <c r="H12" t="s">
        <v>339</v>
      </c>
      <c r="I12" t="s">
        <v>340</v>
      </c>
    </row>
    <row r="13" spans="2:9">
      <c r="B13" t="str">
        <f t="shared" si="0"/>
        <v>000-WTP200</v>
      </c>
      <c r="C13" t="s">
        <v>341</v>
      </c>
      <c r="D13" t="s">
        <v>464</v>
      </c>
      <c r="E13" t="s">
        <v>342</v>
      </c>
      <c r="F13" t="s">
        <v>343</v>
      </c>
      <c r="G13" t="s">
        <v>344</v>
      </c>
      <c r="H13" t="s">
        <v>345</v>
      </c>
      <c r="I13" t="s">
        <v>346</v>
      </c>
    </row>
    <row r="14" spans="2:9">
      <c r="B14" t="str">
        <f t="shared" si="0"/>
        <v>000-LSP027</v>
      </c>
      <c r="C14" t="s">
        <v>347</v>
      </c>
      <c r="D14" t="s">
        <v>465</v>
      </c>
      <c r="E14" t="s">
        <v>348</v>
      </c>
      <c r="F14" t="s">
        <v>349</v>
      </c>
      <c r="G14" t="s">
        <v>350</v>
      </c>
      <c r="H14" t="s">
        <v>351</v>
      </c>
      <c r="I14" t="s">
        <v>352</v>
      </c>
    </row>
    <row r="15" spans="2:9">
      <c r="B15" t="str">
        <f>MID(C15,6,4)&amp;RIGHT(C15,6)</f>
        <v>000-LSP048</v>
      </c>
      <c r="C15" t="s">
        <v>353</v>
      </c>
      <c r="D15" t="s">
        <v>466</v>
      </c>
      <c r="E15" t="s">
        <v>354</v>
      </c>
      <c r="F15" t="s">
        <v>355</v>
      </c>
      <c r="G15" t="s">
        <v>356</v>
      </c>
      <c r="H15" t="s">
        <v>357</v>
      </c>
      <c r="I15" t="s">
        <v>358</v>
      </c>
    </row>
    <row r="16" spans="2:9">
      <c r="B16" s="260" t="str">
        <f t="shared" ref="B16:B61" si="1">MID(C16,6,4)&amp;RIGHT(C16,6)</f>
        <v>000-LSP200</v>
      </c>
      <c r="C16" t="s">
        <v>509</v>
      </c>
      <c r="D16" t="s">
        <v>510</v>
      </c>
      <c r="E16" t="s">
        <v>511</v>
      </c>
      <c r="F16" t="s">
        <v>512</v>
      </c>
      <c r="G16" t="s">
        <v>513</v>
      </c>
      <c r="H16" t="s">
        <v>514</v>
      </c>
      <c r="I16" t="s">
        <v>515</v>
      </c>
    </row>
    <row r="17" spans="2:17">
      <c r="B17" t="str">
        <f t="shared" si="1"/>
        <v>000-LSE200</v>
      </c>
      <c r="C17" t="s">
        <v>359</v>
      </c>
      <c r="D17" s="248" t="s">
        <v>360</v>
      </c>
      <c r="E17" t="s">
        <v>359</v>
      </c>
      <c r="F17" t="s">
        <v>360</v>
      </c>
      <c r="G17" t="s">
        <v>360</v>
      </c>
      <c r="H17" t="s">
        <v>359</v>
      </c>
      <c r="I17" t="s">
        <v>360</v>
      </c>
    </row>
    <row r="18" spans="2:17">
      <c r="B18" t="str">
        <f t="shared" si="1"/>
        <v>000-FZA100</v>
      </c>
      <c r="C18" t="s">
        <v>371</v>
      </c>
      <c r="D18" t="s">
        <v>372</v>
      </c>
      <c r="E18" t="s">
        <v>516</v>
      </c>
      <c r="F18" t="s">
        <v>372</v>
      </c>
      <c r="G18" t="s">
        <v>373</v>
      </c>
      <c r="H18" t="s">
        <v>374</v>
      </c>
      <c r="I18" t="s">
        <v>372</v>
      </c>
      <c r="K18" s="153" t="str">
        <f>'ZAMÓWIENIE | WYCENA'!AF52</f>
        <v>716U</v>
      </c>
      <c r="L18" s="154" t="str">
        <f>'ZAMÓWIENIE | WYCENA'!AG52</f>
        <v>905M</v>
      </c>
      <c r="M18" s="155" t="str">
        <f>'ZAMÓWIENIE | WYCENA'!AH52</f>
        <v>716R</v>
      </c>
      <c r="N18" s="155" t="str">
        <f>'ZAMÓWIENIE | WYCENA'!AI52</f>
        <v>905M</v>
      </c>
      <c r="O18" s="154" t="str">
        <f>'ZAMÓWIENIE | WYCENA'!AJ52</f>
        <v>817R</v>
      </c>
      <c r="P18" s="156" t="str">
        <f>'ZAMÓWIENIE | WYCENA'!AK52</f>
        <v>716M</v>
      </c>
      <c r="Q18" s="157" t="str">
        <f>'ZAMÓWIENIE | WYCENA'!AL52</f>
        <v>905M</v>
      </c>
    </row>
    <row r="19" spans="2:17">
      <c r="B19" t="str">
        <f t="shared" si="1"/>
        <v>035-WTX250</v>
      </c>
      <c r="C19" t="s">
        <v>317</v>
      </c>
      <c r="D19" t="s">
        <v>318</v>
      </c>
      <c r="E19" t="s">
        <v>317</v>
      </c>
      <c r="F19" t="s">
        <v>318</v>
      </c>
      <c r="G19" t="s">
        <v>517</v>
      </c>
      <c r="H19" t="s">
        <v>319</v>
      </c>
      <c r="I19" t="s">
        <v>318</v>
      </c>
      <c r="K19" s="153" t="str">
        <f>'ZAMÓWIENIE | WYCENA'!AF53</f>
        <v>716U</v>
      </c>
      <c r="L19" s="154" t="str">
        <f>'ZAMÓWIENIE | WYCENA'!AG53</f>
        <v>905P</v>
      </c>
      <c r="M19" s="155" t="str">
        <f>'ZAMÓWIENIE | WYCENA'!AH53</f>
        <v>716U</v>
      </c>
      <c r="N19" s="155" t="str">
        <f>'ZAMÓWIENIE | WYCENA'!AI53</f>
        <v>905P</v>
      </c>
      <c r="O19" s="154" t="str">
        <f>'ZAMÓWIENIE | WYCENA'!AJ53</f>
        <v>817R</v>
      </c>
      <c r="P19" s="156" t="str">
        <f>'ZAMÓWIENIE | WYCENA'!AK53</f>
        <v>721P</v>
      </c>
      <c r="Q19" s="157" t="str">
        <f>'ZAMÓWIENIE | WYCENA'!AL53</f>
        <v>905P</v>
      </c>
    </row>
    <row r="20" spans="2:17">
      <c r="B20" t="str">
        <f t="shared" si="1"/>
        <v>020-WTZ250</v>
      </c>
      <c r="C20" t="s">
        <v>518</v>
      </c>
      <c r="D20" t="s">
        <v>519</v>
      </c>
      <c r="E20" t="s">
        <v>518</v>
      </c>
      <c r="F20" t="s">
        <v>519</v>
      </c>
      <c r="G20" t="s">
        <v>520</v>
      </c>
      <c r="H20" t="s">
        <v>521</v>
      </c>
      <c r="I20" t="s">
        <v>519</v>
      </c>
      <c r="K20" s="153" t="str">
        <f>'ZAMÓWIENIE | WYCENA'!AF54</f>
        <v>716U</v>
      </c>
      <c r="L20" s="154" t="str">
        <f>'ZAMÓWIENIE | WYCENA'!AG54</f>
        <v>905P</v>
      </c>
      <c r="M20" s="155" t="str">
        <f>'ZAMÓWIENIE | WYCENA'!AH54</f>
        <v>716U</v>
      </c>
      <c r="N20" s="155" t="str">
        <f>'ZAMÓWIENIE | WYCENA'!AI54</f>
        <v>905P</v>
      </c>
      <c r="O20" s="154" t="str">
        <f>'ZAMÓWIENIE | WYCENA'!AJ54</f>
        <v>817R</v>
      </c>
      <c r="P20" s="156" t="str">
        <f>'ZAMÓWIENIE | WYCENA'!AK54</f>
        <v>721P</v>
      </c>
      <c r="Q20" s="157" t="str">
        <f>'ZAMÓWIENIE | WYCENA'!AL54</f>
        <v>905P</v>
      </c>
    </row>
    <row r="21" spans="2:17">
      <c r="B21" t="str">
        <f t="shared" si="1"/>
        <v>035-WFR250</v>
      </c>
      <c r="C21" t="s">
        <v>522</v>
      </c>
      <c r="D21" t="s">
        <v>523</v>
      </c>
      <c r="E21" t="s">
        <v>522</v>
      </c>
      <c r="F21" t="s">
        <v>523</v>
      </c>
      <c r="G21" t="s">
        <v>524</v>
      </c>
      <c r="H21" t="s">
        <v>525</v>
      </c>
      <c r="I21" t="s">
        <v>523</v>
      </c>
      <c r="K21" s="153" t="str">
        <f>'ZAMÓWIENIE | WYCENA'!AF55</f>
        <v>716U</v>
      </c>
      <c r="L21" s="154" t="str">
        <f>'ZAMÓWIENIE | WYCENA'!AG55</f>
        <v>905P</v>
      </c>
      <c r="M21" s="155" t="str">
        <f>'ZAMÓWIENIE | WYCENA'!AH55</f>
        <v>716U</v>
      </c>
      <c r="N21" s="155" t="str">
        <f>'ZAMÓWIENIE | WYCENA'!AI55</f>
        <v>905P</v>
      </c>
      <c r="O21" s="154" t="str">
        <f>'ZAMÓWIENIE | WYCENA'!AJ55</f>
        <v>817R</v>
      </c>
      <c r="P21" s="156" t="str">
        <f>'ZAMÓWIENIE | WYCENA'!AK55</f>
        <v>721P</v>
      </c>
      <c r="Q21" s="157" t="str">
        <f>'ZAMÓWIENIE | WYCENA'!AL55</f>
        <v>905P</v>
      </c>
    </row>
    <row r="22" spans="2:17">
      <c r="B22" t="str">
        <f t="shared" si="1"/>
        <v>000-RZL000</v>
      </c>
      <c r="C22" t="s">
        <v>313</v>
      </c>
      <c r="D22" t="s">
        <v>314</v>
      </c>
      <c r="E22" t="s">
        <v>313</v>
      </c>
      <c r="F22" t="s">
        <v>314</v>
      </c>
      <c r="G22" t="s">
        <v>314</v>
      </c>
      <c r="H22" t="s">
        <v>313</v>
      </c>
      <c r="I22" t="s">
        <v>314</v>
      </c>
      <c r="K22" s="153" t="str">
        <f>'ZAMÓWIENIE | WYCENA'!AF56</f>
        <v>716S</v>
      </c>
      <c r="L22" s="154" t="str">
        <f>'ZAMÓWIENIE | WYCENA'!AG56</f>
        <v>905S</v>
      </c>
      <c r="M22" s="155" t="str">
        <f>'ZAMÓWIENIE | WYCENA'!AH56</f>
        <v>716S</v>
      </c>
      <c r="N22" s="155" t="str">
        <f>'ZAMÓWIENIE | WYCENA'!AI56</f>
        <v>905S</v>
      </c>
      <c r="O22" s="154"/>
      <c r="P22" s="156" t="str">
        <f>'ZAMÓWIENIE | WYCENA'!AK56</f>
        <v>716S</v>
      </c>
      <c r="Q22" s="157" t="str">
        <f>'ZAMÓWIENIE | WYCENA'!AL56</f>
        <v>905S</v>
      </c>
    </row>
    <row r="23" spans="2:17">
      <c r="B23" t="str">
        <f t="shared" si="1"/>
        <v>000-RZP000</v>
      </c>
      <c r="C23" t="s">
        <v>315</v>
      </c>
      <c r="D23" t="s">
        <v>316</v>
      </c>
      <c r="E23" t="s">
        <v>315</v>
      </c>
      <c r="F23" t="s">
        <v>316</v>
      </c>
      <c r="G23" t="s">
        <v>316</v>
      </c>
      <c r="H23" t="s">
        <v>315</v>
      </c>
      <c r="I23" t="s">
        <v>316</v>
      </c>
      <c r="K23" s="153" t="str">
        <f>'ZAMÓWIENIE | WYCENA'!AF57</f>
        <v>716S</v>
      </c>
      <c r="L23" s="154" t="str">
        <f>'ZAMÓWIENIE | WYCENA'!AG57</f>
        <v>905S</v>
      </c>
      <c r="M23" s="155" t="str">
        <f>'ZAMÓWIENIE | WYCENA'!AH57</f>
        <v>716S</v>
      </c>
      <c r="N23" s="155" t="str">
        <f>'ZAMÓWIENIE | WYCENA'!AI57</f>
        <v>905S</v>
      </c>
      <c r="O23" s="154"/>
      <c r="P23" s="156" t="str">
        <f>'ZAMÓWIENIE | WYCENA'!AK57</f>
        <v>716S</v>
      </c>
      <c r="Q23" s="157" t="str">
        <f>'ZAMÓWIENIE | WYCENA'!AL57</f>
        <v>905S</v>
      </c>
    </row>
    <row r="24" spans="2:17">
      <c r="B24" t="str">
        <f t="shared" si="1"/>
        <v>190-RYN400</v>
      </c>
      <c r="C24" t="s">
        <v>375</v>
      </c>
      <c r="D24" t="s">
        <v>376</v>
      </c>
      <c r="E24" t="s">
        <v>375</v>
      </c>
      <c r="F24" t="s">
        <v>376</v>
      </c>
      <c r="G24" t="s">
        <v>376</v>
      </c>
      <c r="H24" t="s">
        <v>375</v>
      </c>
      <c r="I24" t="s">
        <v>376</v>
      </c>
    </row>
    <row r="25" spans="2:17">
      <c r="B25" t="str">
        <f t="shared" si="1"/>
        <v>190-RYL058</v>
      </c>
      <c r="C25" t="s">
        <v>383</v>
      </c>
      <c r="D25" t="s">
        <v>384</v>
      </c>
      <c r="E25" t="s">
        <v>383</v>
      </c>
      <c r="F25" t="s">
        <v>384</v>
      </c>
      <c r="G25" t="s">
        <v>384</v>
      </c>
      <c r="H25" t="s">
        <v>383</v>
      </c>
      <c r="I25" t="s">
        <v>384</v>
      </c>
    </row>
    <row r="26" spans="2:17">
      <c r="B26" t="str">
        <f t="shared" si="1"/>
        <v>190-WSP004</v>
      </c>
      <c r="C26" t="s">
        <v>377</v>
      </c>
      <c r="D26" t="s">
        <v>378</v>
      </c>
      <c r="E26" t="s">
        <v>377</v>
      </c>
      <c r="F26" t="s">
        <v>378</v>
      </c>
      <c r="G26" t="s">
        <v>378</v>
      </c>
      <c r="H26" t="s">
        <v>377</v>
      </c>
      <c r="I26" t="s">
        <v>378</v>
      </c>
    </row>
    <row r="27" spans="2:17">
      <c r="B27" t="str">
        <f t="shared" si="1"/>
        <v>190-OPO080</v>
      </c>
      <c r="C27" t="s">
        <v>381</v>
      </c>
      <c r="D27" t="s">
        <v>382</v>
      </c>
      <c r="E27" t="s">
        <v>381</v>
      </c>
      <c r="F27" t="s">
        <v>382</v>
      </c>
      <c r="G27" t="s">
        <v>382</v>
      </c>
      <c r="H27" t="s">
        <v>381</v>
      </c>
      <c r="I27" t="s">
        <v>382</v>
      </c>
    </row>
    <row r="28" spans="2:17">
      <c r="B28" t="str">
        <f t="shared" si="1"/>
        <v>190-ZUS000</v>
      </c>
      <c r="C28" t="s">
        <v>385</v>
      </c>
      <c r="D28" t="s">
        <v>386</v>
      </c>
      <c r="E28" t="s">
        <v>385</v>
      </c>
      <c r="F28" t="s">
        <v>386</v>
      </c>
      <c r="G28" t="s">
        <v>386</v>
      </c>
      <c r="H28" t="s">
        <v>385</v>
      </c>
      <c r="I28" t="s">
        <v>386</v>
      </c>
    </row>
    <row r="29" spans="2:17">
      <c r="B29" t="str">
        <f t="shared" si="1"/>
        <v>000-POS200</v>
      </c>
      <c r="C29" t="s">
        <v>406</v>
      </c>
      <c r="D29" t="s">
        <v>526</v>
      </c>
      <c r="E29" t="s">
        <v>407</v>
      </c>
      <c r="F29" t="s">
        <v>408</v>
      </c>
      <c r="G29" t="s">
        <v>527</v>
      </c>
      <c r="H29" t="s">
        <v>409</v>
      </c>
      <c r="I29" t="s">
        <v>410</v>
      </c>
    </row>
    <row r="30" spans="2:17">
      <c r="B30" t="str">
        <f t="shared" si="1"/>
        <v>000-PON200</v>
      </c>
      <c r="C30" t="s">
        <v>413</v>
      </c>
      <c r="D30" t="s">
        <v>528</v>
      </c>
      <c r="E30" t="s">
        <v>414</v>
      </c>
      <c r="F30" t="s">
        <v>415</v>
      </c>
      <c r="G30" t="s">
        <v>529</v>
      </c>
      <c r="H30" t="s">
        <v>416</v>
      </c>
      <c r="I30" t="s">
        <v>417</v>
      </c>
    </row>
    <row r="31" spans="2:17">
      <c r="B31" t="str">
        <f t="shared" si="1"/>
        <v>000-POW200</v>
      </c>
      <c r="C31" t="s">
        <v>411</v>
      </c>
      <c r="D31" t="s">
        <v>412</v>
      </c>
      <c r="E31" t="s">
        <v>411</v>
      </c>
      <c r="F31" t="s">
        <v>412</v>
      </c>
      <c r="G31" t="s">
        <v>412</v>
      </c>
      <c r="H31" t="s">
        <v>411</v>
      </c>
      <c r="I31" t="s">
        <v>412</v>
      </c>
    </row>
    <row r="32" spans="2:17">
      <c r="B32" t="str">
        <f t="shared" si="1"/>
        <v>000-LOJ200</v>
      </c>
      <c r="C32" t="s">
        <v>418</v>
      </c>
      <c r="D32" t="s">
        <v>419</v>
      </c>
      <c r="E32" t="s">
        <v>418</v>
      </c>
      <c r="F32" t="s">
        <v>419</v>
      </c>
      <c r="G32" t="s">
        <v>419</v>
      </c>
      <c r="H32" t="s">
        <v>418</v>
      </c>
      <c r="I32" t="s">
        <v>419</v>
      </c>
    </row>
    <row r="33" spans="2:9">
      <c r="B33" t="str">
        <f t="shared" si="1"/>
        <v>080-RUR400</v>
      </c>
      <c r="C33" t="s">
        <v>390</v>
      </c>
      <c r="D33" t="s">
        <v>391</v>
      </c>
      <c r="E33" t="s">
        <v>390</v>
      </c>
      <c r="F33" t="s">
        <v>391</v>
      </c>
      <c r="G33" t="s">
        <v>391</v>
      </c>
      <c r="H33" t="s">
        <v>390</v>
      </c>
      <c r="I33" t="s">
        <v>391</v>
      </c>
    </row>
    <row r="34" spans="2:9">
      <c r="B34" t="str">
        <f t="shared" si="1"/>
        <v>080-MUF000</v>
      </c>
      <c r="C34" t="s">
        <v>392</v>
      </c>
      <c r="D34" t="s">
        <v>393</v>
      </c>
      <c r="E34" t="s">
        <v>392</v>
      </c>
      <c r="F34" t="s">
        <v>393</v>
      </c>
      <c r="G34" t="s">
        <v>393</v>
      </c>
      <c r="H34" t="s">
        <v>392</v>
      </c>
      <c r="I34" t="s">
        <v>393</v>
      </c>
    </row>
    <row r="35" spans="2:9">
      <c r="B35" t="str">
        <f t="shared" si="1"/>
        <v>080-KOL067</v>
      </c>
      <c r="C35" t="s">
        <v>387</v>
      </c>
      <c r="D35" t="s">
        <v>388</v>
      </c>
      <c r="E35" t="s">
        <v>387</v>
      </c>
      <c r="F35" t="s">
        <v>388</v>
      </c>
      <c r="G35" t="s">
        <v>388</v>
      </c>
      <c r="H35" t="s">
        <v>387</v>
      </c>
      <c r="I35" t="s">
        <v>388</v>
      </c>
    </row>
    <row r="36" spans="2:9">
      <c r="B36" t="str">
        <f t="shared" si="1"/>
        <v>080-KEL000</v>
      </c>
      <c r="C36" t="s">
        <v>389</v>
      </c>
      <c r="D36" t="s">
        <v>389</v>
      </c>
      <c r="E36" t="s">
        <v>389</v>
      </c>
      <c r="F36" t="s">
        <v>389</v>
      </c>
      <c r="G36" t="s">
        <v>389</v>
      </c>
      <c r="H36" t="s">
        <v>389</v>
      </c>
      <c r="I36" t="s">
        <v>389</v>
      </c>
    </row>
    <row r="37" spans="2:9">
      <c r="B37" t="str">
        <f t="shared" si="1"/>
        <v>080-KOBXXX</v>
      </c>
      <c r="C37" t="s">
        <v>530</v>
      </c>
      <c r="D37" t="s">
        <v>531</v>
      </c>
      <c r="E37" t="s">
        <v>530</v>
      </c>
      <c r="F37" t="s">
        <v>531</v>
      </c>
      <c r="G37" t="s">
        <v>531</v>
      </c>
      <c r="H37" t="s">
        <v>530</v>
      </c>
      <c r="I37" t="s">
        <v>531</v>
      </c>
    </row>
    <row r="38" spans="2:9">
      <c r="B38" t="str">
        <f t="shared" si="1"/>
        <v>080-OBS000</v>
      </c>
      <c r="C38" t="s">
        <v>394</v>
      </c>
      <c r="D38" t="s">
        <v>395</v>
      </c>
      <c r="E38" t="s">
        <v>394</v>
      </c>
      <c r="F38" t="s">
        <v>395</v>
      </c>
      <c r="G38" t="s">
        <v>395</v>
      </c>
      <c r="H38" t="s">
        <v>394</v>
      </c>
      <c r="I38" t="s">
        <v>395</v>
      </c>
    </row>
    <row r="39" spans="2:9">
      <c r="B39" t="str">
        <f t="shared" si="1"/>
        <v>000-USC310</v>
      </c>
      <c r="C39" s="248" t="s">
        <v>768</v>
      </c>
      <c r="D39" s="248" t="s">
        <v>767</v>
      </c>
      <c r="E39" s="248" t="s">
        <v>768</v>
      </c>
      <c r="F39" s="248" t="s">
        <v>767</v>
      </c>
      <c r="G39" s="248" t="s">
        <v>767</v>
      </c>
      <c r="H39" s="248" t="s">
        <v>768</v>
      </c>
      <c r="I39" s="248" t="s">
        <v>767</v>
      </c>
    </row>
    <row r="40" spans="2:9">
      <c r="B40" t="str">
        <f t="shared" si="1"/>
        <v>000-ZZR240</v>
      </c>
      <c r="C40" t="s">
        <v>445</v>
      </c>
      <c r="D40" t="s">
        <v>446</v>
      </c>
      <c r="E40" t="s">
        <v>445</v>
      </c>
      <c r="F40" t="s">
        <v>446</v>
      </c>
      <c r="G40" t="s">
        <v>446</v>
      </c>
      <c r="H40" t="s">
        <v>445</v>
      </c>
      <c r="I40" t="s">
        <v>446</v>
      </c>
    </row>
    <row r="41" spans="2:9">
      <c r="B41" t="str">
        <f t="shared" si="1"/>
        <v>000-ZZR360</v>
      </c>
      <c r="C41" t="s">
        <v>447</v>
      </c>
      <c r="D41" t="s">
        <v>448</v>
      </c>
      <c r="E41" t="s">
        <v>447</v>
      </c>
      <c r="F41" t="s">
        <v>448</v>
      </c>
      <c r="G41" t="s">
        <v>448</v>
      </c>
      <c r="H41" t="s">
        <v>447</v>
      </c>
      <c r="I41" t="s">
        <v>448</v>
      </c>
    </row>
    <row r="42" spans="2:9">
      <c r="B42" t="str">
        <f t="shared" si="1"/>
        <v>000-ZWR000</v>
      </c>
      <c r="C42" t="s">
        <v>449</v>
      </c>
      <c r="D42" t="s">
        <v>450</v>
      </c>
      <c r="E42" t="s">
        <v>449</v>
      </c>
      <c r="F42" t="s">
        <v>450</v>
      </c>
      <c r="G42" t="s">
        <v>450</v>
      </c>
      <c r="H42" t="s">
        <v>449</v>
      </c>
      <c r="I42" t="s">
        <v>450</v>
      </c>
    </row>
    <row r="43" spans="2:9">
      <c r="B43" t="str">
        <f t="shared" si="1"/>
        <v>000-ZRU120</v>
      </c>
      <c r="C43" t="s">
        <v>451</v>
      </c>
      <c r="D43" t="s">
        <v>452</v>
      </c>
      <c r="E43" t="s">
        <v>451</v>
      </c>
      <c r="F43" t="s">
        <v>452</v>
      </c>
      <c r="G43" t="s">
        <v>452</v>
      </c>
      <c r="H43" t="s">
        <v>451</v>
      </c>
      <c r="I43" t="s">
        <v>452</v>
      </c>
    </row>
    <row r="44" spans="2:9">
      <c r="B44" t="str">
        <f t="shared" si="1"/>
        <v>000-ZRU200</v>
      </c>
      <c r="C44" t="s">
        <v>453</v>
      </c>
      <c r="D44" t="s">
        <v>454</v>
      </c>
      <c r="E44" t="s">
        <v>453</v>
      </c>
      <c r="F44" t="s">
        <v>454</v>
      </c>
      <c r="G44" t="s">
        <v>454</v>
      </c>
      <c r="H44" t="s">
        <v>453</v>
      </c>
      <c r="I44" t="s">
        <v>454</v>
      </c>
    </row>
    <row r="45" spans="2:9">
      <c r="B45" t="str">
        <f t="shared" si="1"/>
        <v>000-ZBU000</v>
      </c>
      <c r="C45" t="s">
        <v>455</v>
      </c>
      <c r="D45" t="s">
        <v>456</v>
      </c>
      <c r="E45" t="s">
        <v>455</v>
      </c>
      <c r="F45" t="s">
        <v>456</v>
      </c>
      <c r="G45" t="s">
        <v>456</v>
      </c>
      <c r="H45" t="s">
        <v>455</v>
      </c>
      <c r="I45" t="s">
        <v>456</v>
      </c>
    </row>
    <row r="46" spans="2:9">
      <c r="B46" t="str">
        <f t="shared" si="1"/>
        <v>000-ZLU000</v>
      </c>
      <c r="C46" t="s">
        <v>457</v>
      </c>
      <c r="D46" t="s">
        <v>457</v>
      </c>
      <c r="E46" t="s">
        <v>457</v>
      </c>
      <c r="F46" t="s">
        <v>457</v>
      </c>
      <c r="G46" t="s">
        <v>457</v>
      </c>
      <c r="H46" t="s">
        <v>457</v>
      </c>
      <c r="I46" t="s">
        <v>457</v>
      </c>
    </row>
    <row r="47" spans="2:9">
      <c r="B47" t="str">
        <f t="shared" si="1"/>
        <v>000-ZZU000</v>
      </c>
      <c r="C47" t="s">
        <v>458</v>
      </c>
      <c r="D47" t="s">
        <v>458</v>
      </c>
      <c r="E47" t="s">
        <v>458</v>
      </c>
      <c r="F47" t="s">
        <v>458</v>
      </c>
      <c r="G47" t="s">
        <v>458</v>
      </c>
      <c r="H47" t="s">
        <v>458</v>
      </c>
      <c r="I47" t="s">
        <v>458</v>
      </c>
    </row>
    <row r="48" spans="2:9">
      <c r="B48" t="str">
        <f t="shared" si="1"/>
        <v>000-KZR060</v>
      </c>
      <c r="C48" t="s">
        <v>420</v>
      </c>
      <c r="D48" t="s">
        <v>421</v>
      </c>
      <c r="E48" t="s">
        <v>420</v>
      </c>
      <c r="F48" t="s">
        <v>421</v>
      </c>
      <c r="G48" t="s">
        <v>421</v>
      </c>
      <c r="H48" t="s">
        <v>420</v>
      </c>
      <c r="I48" t="s">
        <v>421</v>
      </c>
    </row>
    <row r="49" spans="2:9">
      <c r="B49" t="str">
        <f t="shared" si="1"/>
        <v>000-KZR120</v>
      </c>
      <c r="C49" t="s">
        <v>422</v>
      </c>
      <c r="D49" t="s">
        <v>423</v>
      </c>
      <c r="E49" t="s">
        <v>422</v>
      </c>
      <c r="F49" t="s">
        <v>423</v>
      </c>
      <c r="G49" t="s">
        <v>423</v>
      </c>
      <c r="H49" t="s">
        <v>422</v>
      </c>
      <c r="I49" t="s">
        <v>423</v>
      </c>
    </row>
    <row r="50" spans="2:9">
      <c r="B50" t="str">
        <f t="shared" si="1"/>
        <v>000-LWR000</v>
      </c>
      <c r="C50" t="s">
        <v>424</v>
      </c>
      <c r="D50" t="s">
        <v>425</v>
      </c>
      <c r="E50" t="s">
        <v>424</v>
      </c>
      <c r="F50" t="s">
        <v>425</v>
      </c>
      <c r="G50" t="s">
        <v>425</v>
      </c>
      <c r="H50" t="s">
        <v>424</v>
      </c>
      <c r="I50" t="s">
        <v>425</v>
      </c>
    </row>
    <row r="51" spans="2:9">
      <c r="B51" t="str">
        <f t="shared" si="1"/>
        <v>000-LLU000</v>
      </c>
      <c r="C51" t="s">
        <v>426</v>
      </c>
      <c r="D51" t="s">
        <v>427</v>
      </c>
      <c r="E51" t="s">
        <v>426</v>
      </c>
      <c r="F51" t="s">
        <v>427</v>
      </c>
      <c r="G51" t="s">
        <v>427</v>
      </c>
      <c r="H51" t="s">
        <v>426</v>
      </c>
      <c r="I51" t="s">
        <v>427</v>
      </c>
    </row>
    <row r="52" spans="2:9">
      <c r="B52" t="str">
        <f t="shared" si="1"/>
        <v>000-LKU040</v>
      </c>
      <c r="C52" t="s">
        <v>428</v>
      </c>
      <c r="D52" t="s">
        <v>429</v>
      </c>
      <c r="E52" t="s">
        <v>428</v>
      </c>
      <c r="F52" t="s">
        <v>429</v>
      </c>
      <c r="G52" t="s">
        <v>429</v>
      </c>
      <c r="H52" t="s">
        <v>428</v>
      </c>
      <c r="I52" t="s">
        <v>429</v>
      </c>
    </row>
    <row r="53" spans="2:9">
      <c r="B53" t="str">
        <f t="shared" si="1"/>
        <v>000-LKU060</v>
      </c>
      <c r="C53" t="s">
        <v>430</v>
      </c>
      <c r="D53" t="s">
        <v>431</v>
      </c>
      <c r="E53" t="s">
        <v>430</v>
      </c>
      <c r="F53" t="s">
        <v>431</v>
      </c>
      <c r="G53" t="s">
        <v>431</v>
      </c>
      <c r="H53" t="s">
        <v>430</v>
      </c>
      <c r="I53" t="s">
        <v>431</v>
      </c>
    </row>
    <row r="54" spans="2:9">
      <c r="B54" t="str">
        <f t="shared" si="1"/>
        <v>000-LKU080</v>
      </c>
      <c r="C54" t="s">
        <v>432</v>
      </c>
      <c r="D54" t="s">
        <v>433</v>
      </c>
      <c r="E54" t="s">
        <v>432</v>
      </c>
      <c r="F54" t="s">
        <v>433</v>
      </c>
      <c r="G54" t="s">
        <v>433</v>
      </c>
      <c r="H54" t="s">
        <v>432</v>
      </c>
      <c r="I54" t="s">
        <v>433</v>
      </c>
    </row>
    <row r="55" spans="2:9">
      <c r="B55" t="str">
        <f t="shared" si="1"/>
        <v>000-LKU120</v>
      </c>
      <c r="C55" t="s">
        <v>434</v>
      </c>
      <c r="D55" t="s">
        <v>435</v>
      </c>
      <c r="E55" t="s">
        <v>434</v>
      </c>
      <c r="F55" t="s">
        <v>435</v>
      </c>
      <c r="G55" t="s">
        <v>435</v>
      </c>
      <c r="H55" t="s">
        <v>434</v>
      </c>
      <c r="I55" t="s">
        <v>435</v>
      </c>
    </row>
    <row r="56" spans="2:9">
      <c r="B56" t="str">
        <f t="shared" si="1"/>
        <v>000-LKU200</v>
      </c>
      <c r="C56" t="s">
        <v>436</v>
      </c>
      <c r="D56" t="s">
        <v>437</v>
      </c>
      <c r="E56" t="s">
        <v>436</v>
      </c>
      <c r="F56" t="s">
        <v>437</v>
      </c>
      <c r="G56" t="s">
        <v>437</v>
      </c>
      <c r="H56" t="s">
        <v>436</v>
      </c>
      <c r="I56" t="s">
        <v>437</v>
      </c>
    </row>
    <row r="57" spans="2:9">
      <c r="B57" t="str">
        <f t="shared" si="1"/>
        <v>000-LJE200</v>
      </c>
      <c r="C57" t="s">
        <v>361</v>
      </c>
      <c r="D57" s="248" t="s">
        <v>467</v>
      </c>
      <c r="E57" t="s">
        <v>362</v>
      </c>
      <c r="F57" t="s">
        <v>363</v>
      </c>
      <c r="G57" t="s">
        <v>601</v>
      </c>
      <c r="H57" t="s">
        <v>364</v>
      </c>
      <c r="I57" t="s">
        <v>365</v>
      </c>
    </row>
    <row r="58" spans="2:9">
      <c r="B58" t="str">
        <f t="shared" si="1"/>
        <v>000-PDE200</v>
      </c>
      <c r="C58" t="s">
        <v>366</v>
      </c>
      <c r="D58" t="s">
        <v>602</v>
      </c>
      <c r="E58" t="s">
        <v>367</v>
      </c>
      <c r="F58" t="s">
        <v>368</v>
      </c>
      <c r="G58" t="s">
        <v>603</v>
      </c>
      <c r="H58" t="s">
        <v>369</v>
      </c>
      <c r="I58" t="s">
        <v>370</v>
      </c>
    </row>
    <row r="59" spans="2:9">
      <c r="B59" t="str">
        <f t="shared" si="1"/>
        <v>190-OPB080</v>
      </c>
      <c r="C59" s="248" t="s">
        <v>379</v>
      </c>
      <c r="D59" t="s">
        <v>380</v>
      </c>
      <c r="E59" t="s">
        <v>379</v>
      </c>
      <c r="F59" t="s">
        <v>380</v>
      </c>
      <c r="G59" t="s">
        <v>380</v>
      </c>
      <c r="H59" t="s">
        <v>379</v>
      </c>
      <c r="I59" t="s">
        <v>380</v>
      </c>
    </row>
    <row r="60" spans="2:9">
      <c r="B60" t="str">
        <f t="shared" si="1"/>
        <v>000-PSZ200</v>
      </c>
      <c r="C60" s="248" t="s">
        <v>396</v>
      </c>
      <c r="D60" s="248" t="s">
        <v>663</v>
      </c>
      <c r="E60" s="248" t="s">
        <v>397</v>
      </c>
      <c r="F60" s="248" t="s">
        <v>398</v>
      </c>
      <c r="G60" s="248" t="s">
        <v>665</v>
      </c>
      <c r="H60" s="248" t="s">
        <v>399</v>
      </c>
      <c r="I60" s="248" t="s">
        <v>400</v>
      </c>
    </row>
    <row r="61" spans="2:9">
      <c r="B61" t="str">
        <f t="shared" si="1"/>
        <v>000-PAZ200</v>
      </c>
      <c r="C61" s="248" t="s">
        <v>401</v>
      </c>
      <c r="D61" s="248" t="s">
        <v>664</v>
      </c>
      <c r="E61" s="248" t="s">
        <v>402</v>
      </c>
      <c r="F61" s="248" t="s">
        <v>403</v>
      </c>
      <c r="G61" s="248" t="s">
        <v>666</v>
      </c>
      <c r="H61" s="248" t="s">
        <v>404</v>
      </c>
      <c r="I61" s="248" t="s">
        <v>405</v>
      </c>
    </row>
    <row r="62" spans="2:9">
      <c r="C62" s="248"/>
    </row>
  </sheetData>
  <pageMargins left="0.7" right="0.7" top="0.75" bottom="0.75" header="0.3" footer="0.3"/>
  <ignoredErrors>
    <ignoredError sqref="K18:Q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/>
  <dimension ref="A1:V159"/>
  <sheetViews>
    <sheetView topLeftCell="A85" workbookViewId="0">
      <selection activeCell="A116" sqref="A116"/>
    </sheetView>
  </sheetViews>
  <sheetFormatPr defaultRowHeight="12.75"/>
  <cols>
    <col min="1" max="1" width="64.7109375" style="179" customWidth="1"/>
    <col min="2" max="2" width="25.28515625" customWidth="1"/>
    <col min="3" max="3" width="10.7109375" customWidth="1"/>
    <col min="4" max="4" width="11.7109375" customWidth="1"/>
    <col min="5" max="5" width="14.140625" customWidth="1"/>
    <col min="6" max="6" width="17.7109375" customWidth="1"/>
    <col min="7" max="7" width="8.7109375" customWidth="1"/>
    <col min="8" max="8" width="20.140625" customWidth="1"/>
    <col min="9" max="9" width="17" customWidth="1"/>
    <col min="10" max="10" width="16.5703125" customWidth="1"/>
    <col min="11" max="11" width="21.140625" customWidth="1"/>
    <col min="15" max="15" width="36.28515625" customWidth="1"/>
    <col min="16" max="16" width="10.5703125" customWidth="1"/>
    <col min="17" max="17" width="23.5703125" bestFit="1" customWidth="1"/>
    <col min="18" max="18" width="9.5703125" customWidth="1"/>
    <col min="19" max="19" width="25.42578125" bestFit="1" customWidth="1"/>
    <col min="20" max="20" width="12.7109375" customWidth="1"/>
    <col min="21" max="21" width="26" bestFit="1" customWidth="1"/>
  </cols>
  <sheetData>
    <row r="1" spans="1:22" ht="13.5" thickBot="1">
      <c r="A1" s="263" t="s">
        <v>534</v>
      </c>
      <c r="F1" s="271" t="s">
        <v>283</v>
      </c>
      <c r="H1" s="271" t="s">
        <v>560</v>
      </c>
      <c r="J1" s="271" t="s">
        <v>293</v>
      </c>
      <c r="K1" s="271" t="s">
        <v>285</v>
      </c>
      <c r="M1" s="271" t="s">
        <v>644</v>
      </c>
      <c r="O1" s="271" t="s">
        <v>649</v>
      </c>
      <c r="P1" s="271" t="s">
        <v>650</v>
      </c>
      <c r="Q1" s="271" t="s">
        <v>651</v>
      </c>
      <c r="R1" s="271" t="s">
        <v>652</v>
      </c>
      <c r="S1" s="271" t="s">
        <v>654</v>
      </c>
      <c r="T1" s="271" t="s">
        <v>653</v>
      </c>
      <c r="U1" s="271" t="s">
        <v>75</v>
      </c>
      <c r="V1" s="271" t="s">
        <v>540</v>
      </c>
    </row>
    <row r="2" spans="1:22" ht="15">
      <c r="A2" s="112" t="s">
        <v>287</v>
      </c>
      <c r="B2" s="317">
        <f>'Dane podst. zamówienia'!D20</f>
        <v>0</v>
      </c>
      <c r="F2" s="527" t="s">
        <v>559</v>
      </c>
      <c r="G2" s="261"/>
      <c r="H2" s="527" t="s">
        <v>561</v>
      </c>
      <c r="I2" s="261"/>
      <c r="J2" s="527" t="s">
        <v>294</v>
      </c>
      <c r="K2" s="527" t="s">
        <v>585</v>
      </c>
      <c r="L2" s="261"/>
      <c r="M2" s="527" t="s">
        <v>295</v>
      </c>
      <c r="N2" s="261"/>
      <c r="O2" s="527" t="s">
        <v>67</v>
      </c>
      <c r="P2" s="527" t="s">
        <v>42</v>
      </c>
      <c r="Q2" s="527" t="s">
        <v>70</v>
      </c>
      <c r="R2" s="527" t="s">
        <v>77</v>
      </c>
      <c r="S2" s="527" t="s">
        <v>76</v>
      </c>
      <c r="T2" s="527" t="s">
        <v>77</v>
      </c>
      <c r="U2" s="527" t="s">
        <v>83</v>
      </c>
      <c r="V2" s="527" t="s">
        <v>85</v>
      </c>
    </row>
    <row r="3" spans="1:22" ht="15.75">
      <c r="A3" s="111" t="s">
        <v>288</v>
      </c>
      <c r="B3" s="315">
        <f>'Dane podst. zamówienia'!D21</f>
        <v>0</v>
      </c>
      <c r="C3" s="295"/>
      <c r="F3" s="527" t="s">
        <v>284</v>
      </c>
      <c r="G3" s="261"/>
      <c r="H3" s="527" t="s">
        <v>740</v>
      </c>
      <c r="I3" s="261"/>
      <c r="J3" s="527" t="s">
        <v>574</v>
      </c>
      <c r="K3" s="527" t="s">
        <v>286</v>
      </c>
      <c r="L3" s="261"/>
      <c r="M3" s="527" t="s">
        <v>645</v>
      </c>
      <c r="N3" s="261"/>
      <c r="O3" s="527" t="s">
        <v>68</v>
      </c>
      <c r="P3" s="527" t="s">
        <v>44</v>
      </c>
      <c r="Q3" s="527" t="s">
        <v>773</v>
      </c>
      <c r="R3" s="527" t="s">
        <v>687</v>
      </c>
      <c r="S3" s="527" t="s">
        <v>95</v>
      </c>
      <c r="T3" s="527" t="s">
        <v>81</v>
      </c>
      <c r="U3" s="527" t="s">
        <v>84</v>
      </c>
      <c r="V3" s="527" t="str">
        <f>""</f>
        <v/>
      </c>
    </row>
    <row r="4" spans="1:22" ht="15.75">
      <c r="A4" s="111" t="s">
        <v>289</v>
      </c>
      <c r="B4" s="315">
        <f>'Dane podst. zamówienia'!D22</f>
        <v>0</v>
      </c>
      <c r="C4" s="320">
        <f>Wymiar_B0+Wymiar_B1</f>
        <v>0</v>
      </c>
      <c r="F4" s="261"/>
      <c r="G4" s="261"/>
      <c r="H4" s="261"/>
      <c r="I4" s="261"/>
      <c r="J4" s="261"/>
      <c r="K4" s="261"/>
      <c r="L4" s="261"/>
      <c r="M4" s="261"/>
      <c r="N4" s="261"/>
      <c r="O4" s="527" t="s">
        <v>161</v>
      </c>
      <c r="P4" s="527" t="s">
        <v>156</v>
      </c>
      <c r="Q4" s="527" t="s">
        <v>71</v>
      </c>
      <c r="R4" s="527" t="s">
        <v>78</v>
      </c>
      <c r="S4" s="527" t="s">
        <v>96</v>
      </c>
      <c r="T4" s="527" t="s">
        <v>80</v>
      </c>
      <c r="U4" s="213"/>
      <c r="V4" s="219"/>
    </row>
    <row r="5" spans="1:22" ht="15">
      <c r="A5" s="111" t="s">
        <v>290</v>
      </c>
      <c r="B5" s="315">
        <f>'Dane podst. zamówienia'!D23</f>
        <v>0</v>
      </c>
      <c r="F5" s="261"/>
      <c r="G5" s="261"/>
      <c r="H5" s="261"/>
      <c r="I5" s="261"/>
      <c r="J5" s="261"/>
      <c r="K5" s="261"/>
      <c r="L5" s="261"/>
      <c r="M5" s="261"/>
      <c r="N5" s="261"/>
      <c r="O5" s="527" t="s">
        <v>157</v>
      </c>
      <c r="P5" s="527" t="s">
        <v>41</v>
      </c>
      <c r="Q5" s="527" t="s">
        <v>72</v>
      </c>
      <c r="R5" s="527" t="s">
        <v>79</v>
      </c>
      <c r="S5" s="219"/>
      <c r="T5" s="219"/>
      <c r="U5" s="219"/>
      <c r="V5" s="219"/>
    </row>
    <row r="6" spans="1:22">
      <c r="A6" s="111" t="s">
        <v>291</v>
      </c>
      <c r="B6" s="315">
        <f>'Dane podst. zamówienia'!D24</f>
        <v>0</v>
      </c>
      <c r="F6" s="261"/>
      <c r="G6" s="261"/>
      <c r="H6" s="261"/>
      <c r="I6" s="261"/>
      <c r="J6" s="261"/>
      <c r="K6" s="261"/>
      <c r="L6" s="261"/>
      <c r="M6" s="261"/>
      <c r="N6" s="261"/>
      <c r="O6" s="527" t="s">
        <v>158</v>
      </c>
      <c r="P6" s="527" t="s">
        <v>93</v>
      </c>
      <c r="Q6" s="527" t="s">
        <v>169</v>
      </c>
      <c r="R6" s="527" t="s">
        <v>170</v>
      </c>
      <c r="S6" s="219"/>
      <c r="T6" s="219"/>
      <c r="U6" s="219"/>
      <c r="V6" s="219"/>
    </row>
    <row r="7" spans="1:22" ht="13.5" thickBot="1">
      <c r="A7" s="114" t="s">
        <v>536</v>
      </c>
      <c r="B7" s="318">
        <f>'Dane podst. zamówienia'!D25</f>
        <v>0</v>
      </c>
      <c r="F7" s="261"/>
      <c r="G7" s="261"/>
      <c r="H7" s="261"/>
      <c r="I7" s="261"/>
      <c r="J7" s="261"/>
      <c r="K7" s="261"/>
      <c r="L7" s="261"/>
      <c r="M7" s="261"/>
      <c r="N7" s="261"/>
      <c r="O7" s="527" t="s">
        <v>160</v>
      </c>
      <c r="P7" s="527" t="s">
        <v>155</v>
      </c>
      <c r="Q7" s="527" t="s">
        <v>171</v>
      </c>
      <c r="R7" s="527" t="s">
        <v>80</v>
      </c>
      <c r="S7" s="219"/>
      <c r="T7" s="219"/>
      <c r="U7" s="219"/>
      <c r="V7" s="219"/>
    </row>
    <row r="8" spans="1:22">
      <c r="A8" s="113" t="s">
        <v>292</v>
      </c>
      <c r="B8" s="319">
        <f>'Dane podst. zamówienia'!D18</f>
        <v>2</v>
      </c>
      <c r="F8" s="261"/>
      <c r="G8" s="261"/>
      <c r="H8" s="261"/>
      <c r="I8" s="261"/>
      <c r="J8" s="261"/>
      <c r="K8" s="261"/>
      <c r="L8" s="261"/>
      <c r="M8" s="261"/>
      <c r="N8" s="261"/>
      <c r="O8" s="527" t="s">
        <v>159</v>
      </c>
      <c r="P8" s="527" t="s">
        <v>154</v>
      </c>
      <c r="Q8" s="219"/>
      <c r="R8" s="219"/>
      <c r="S8" s="219"/>
      <c r="T8" s="219"/>
      <c r="U8" s="219"/>
      <c r="V8" s="219"/>
    </row>
    <row r="10" spans="1:22" ht="19.149999999999999" customHeight="1" thickBot="1">
      <c r="A10" s="121" t="s">
        <v>283</v>
      </c>
      <c r="B10" s="314" t="str">
        <f>'Dane podst. zamówienia'!D29</f>
        <v>Rąbek na wymiar</v>
      </c>
    </row>
    <row r="11" spans="1:22" ht="19.149999999999999" customHeight="1">
      <c r="A11" s="272" t="s">
        <v>560</v>
      </c>
      <c r="B11" s="315" t="str">
        <f>'Dane podst. zamówienia'!D27</f>
        <v>podbitka nie z panelu na rąbek</v>
      </c>
    </row>
    <row r="12" spans="1:22" ht="19.149999999999999" customHeight="1">
      <c r="A12" s="272" t="s">
        <v>298</v>
      </c>
      <c r="B12" s="316">
        <f>'Dane podst. zamówienia'!D36</f>
        <v>1</v>
      </c>
      <c r="C12" s="273">
        <f>1-B12</f>
        <v>0</v>
      </c>
    </row>
    <row r="13" spans="1:22" ht="19.149999999999999" customHeight="1">
      <c r="A13" s="272" t="s">
        <v>293</v>
      </c>
      <c r="B13" s="273" t="str">
        <f>IF(IL_PIONÓW_SPUSTOWYCH=1,J2,J3)</f>
        <v>duży</v>
      </c>
    </row>
    <row r="14" spans="1:22" ht="20.45" customHeight="1">
      <c r="A14" s="122" t="s">
        <v>285</v>
      </c>
      <c r="B14" s="315" t="str">
        <f>'Dane podst. zamówienia'!D30</f>
        <v>OKAPOWY</v>
      </c>
    </row>
    <row r="15" spans="1:22" ht="20.45" customHeight="1">
      <c r="A15" s="122" t="s">
        <v>296</v>
      </c>
      <c r="B15" s="315" t="str">
        <f>Szacunek!D15</f>
        <v>NIE</v>
      </c>
      <c r="C15" s="307">
        <f>IF(B15=M3,0,1)</f>
        <v>0</v>
      </c>
      <c r="D15" s="760" t="s">
        <v>645</v>
      </c>
      <c r="E15" s="761"/>
      <c r="F15" s="313" t="s">
        <v>296</v>
      </c>
      <c r="G15" s="139"/>
      <c r="H15" s="139"/>
      <c r="I15" s="139"/>
      <c r="J15" s="139"/>
    </row>
    <row r="16" spans="1:22">
      <c r="A16"/>
      <c r="F16" s="139"/>
      <c r="G16" s="139"/>
      <c r="H16" s="139"/>
      <c r="I16" s="139"/>
      <c r="J16" s="139"/>
    </row>
    <row r="17" spans="1:13">
      <c r="A17" s="265" t="s">
        <v>537</v>
      </c>
      <c r="B17" s="267">
        <f>Wymiar_A*Wymiar_B0</f>
        <v>0</v>
      </c>
    </row>
    <row r="18" spans="1:13">
      <c r="A18" s="265" t="s">
        <v>538</v>
      </c>
      <c r="B18" s="266">
        <f>ROUNDUP(B17/90,0)</f>
        <v>0</v>
      </c>
    </row>
    <row r="20" spans="1:13" ht="20.45" customHeight="1">
      <c r="A20" s="265" t="s">
        <v>676</v>
      </c>
      <c r="B20" s="266">
        <f>IF(AND('Dane podst. zamówienia'!D20&gt;0,'Dane podst. zamówienia'!D21&gt;0,'Dane podst. zamówienia'!D22&gt;0,'Dane podst. zamówienia'!D24&gt;0,'Dane podst. zamówienia'!D18&gt;0),1,0)</f>
        <v>0</v>
      </c>
    </row>
    <row r="21" spans="1:13" ht="20.45" customHeight="1">
      <c r="A21"/>
    </row>
    <row r="22" spans="1:13" ht="51.6" customHeight="1">
      <c r="A22" s="270" t="s">
        <v>539</v>
      </c>
      <c r="B22" s="265" t="s">
        <v>540</v>
      </c>
      <c r="C22" s="269" t="s">
        <v>541</v>
      </c>
      <c r="D22" s="269" t="s">
        <v>542</v>
      </c>
      <c r="E22" s="269" t="s">
        <v>543</v>
      </c>
      <c r="F22" s="269" t="s">
        <v>544</v>
      </c>
      <c r="G22" s="269" t="s">
        <v>545</v>
      </c>
      <c r="H22" s="269" t="s">
        <v>546</v>
      </c>
      <c r="I22" s="269" t="s">
        <v>547</v>
      </c>
      <c r="J22" s="269" t="s">
        <v>548</v>
      </c>
      <c r="K22" s="269" t="s">
        <v>549</v>
      </c>
      <c r="L22" s="269" t="s">
        <v>550</v>
      </c>
      <c r="M22" s="269" t="s">
        <v>551</v>
      </c>
    </row>
    <row r="23" spans="1:13">
      <c r="A23" s="748" t="s">
        <v>552</v>
      </c>
      <c r="B23" s="265" t="s">
        <v>557</v>
      </c>
      <c r="C23" s="268">
        <v>0.501</v>
      </c>
      <c r="D23" s="748">
        <f>IF(TYP_POKRYCIA=WYMIAR,1,0)</f>
        <v>1</v>
      </c>
      <c r="E23" s="748">
        <f>Wymiar_B0*Wymiar_A*IL_POŁACI</f>
        <v>0</v>
      </c>
      <c r="F23" s="267">
        <f>Wymiar_A/SZER501</f>
        <v>0</v>
      </c>
      <c r="G23" s="274">
        <f>B12</f>
        <v>1</v>
      </c>
      <c r="H23" s="267">
        <f>ROUNDUP(Wymiar_A/(G23*SZER501+G24*SZER292)*G23,0)</f>
        <v>0</v>
      </c>
      <c r="I23" s="267">
        <f>H23*IL_POŁACI</f>
        <v>0</v>
      </c>
      <c r="J23" s="268">
        <f>ROUND((H23*SZER501*Wymiar_B0*IL_POŁACI),3)</f>
        <v>0</v>
      </c>
      <c r="K23" s="267">
        <f>H23*SZER501</f>
        <v>0</v>
      </c>
      <c r="L23" s="267">
        <f>K23+K24</f>
        <v>0</v>
      </c>
      <c r="M23" s="267" t="e">
        <f>H23/(H23+H24)</f>
        <v>#DIV/0!</v>
      </c>
    </row>
    <row r="24" spans="1:13">
      <c r="A24" s="756"/>
      <c r="B24" s="265" t="s">
        <v>558</v>
      </c>
      <c r="C24" s="268">
        <v>0.29199999999999998</v>
      </c>
      <c r="D24" s="756"/>
      <c r="E24" s="756"/>
      <c r="F24" s="267">
        <f>Wymiar_A/SZER292</f>
        <v>0</v>
      </c>
      <c r="G24" s="274">
        <f>C12</f>
        <v>0</v>
      </c>
      <c r="H24" s="267">
        <f>IF(G24=0,0,ROUNDUP((Wymiar_A-(H23*SZER501))/SZER292,0))</f>
        <v>0</v>
      </c>
      <c r="I24" s="267">
        <f>H24*IL_POŁACI</f>
        <v>0</v>
      </c>
      <c r="J24" s="268">
        <f>ROUND((H24*SZER292*Wymiar_B0*IL_POŁACI),3)</f>
        <v>0</v>
      </c>
      <c r="K24" s="267">
        <f>H24*SZER292</f>
        <v>0</v>
      </c>
      <c r="L24" s="267"/>
      <c r="M24" s="267" t="e">
        <f>H24/(H23+H24)</f>
        <v>#DIV/0!</v>
      </c>
    </row>
    <row r="25" spans="1:13">
      <c r="A25" s="748" t="s">
        <v>553</v>
      </c>
      <c r="B25" s="265" t="str">
        <f>B23</f>
        <v>3341-501-_-RPP000</v>
      </c>
      <c r="C25" s="265"/>
      <c r="D25" s="748">
        <v>1</v>
      </c>
      <c r="E25" s="748">
        <f>Wymiar_B1*Wymiar_A*IL_POŁACI</f>
        <v>0</v>
      </c>
      <c r="F25" s="267"/>
      <c r="G25" s="267"/>
      <c r="H25" s="267"/>
      <c r="I25" s="267"/>
      <c r="J25" s="268">
        <f>ROUND((H23*SZER501*Wymiar_B1*IL_POŁACI),3)</f>
        <v>0</v>
      </c>
      <c r="K25" s="267"/>
      <c r="L25" s="267"/>
      <c r="M25" s="267"/>
    </row>
    <row r="26" spans="1:13">
      <c r="A26" s="756"/>
      <c r="B26" s="265" t="str">
        <f>B24</f>
        <v>3341-292-_-RPP000</v>
      </c>
      <c r="C26" s="265"/>
      <c r="D26" s="756"/>
      <c r="E26" s="756"/>
      <c r="F26" s="267"/>
      <c r="G26" s="267"/>
      <c r="H26" s="267"/>
      <c r="I26" s="267"/>
      <c r="J26" s="268">
        <f>ROUND((H24*SZER292*Wymiar_B1*IL_POŁACI),3)</f>
        <v>0</v>
      </c>
      <c r="K26" s="267"/>
      <c r="L26" s="267"/>
      <c r="M26" s="267"/>
    </row>
    <row r="27" spans="1:13">
      <c r="A27" s="748" t="s">
        <v>554</v>
      </c>
      <c r="B27" s="265" t="str">
        <f>B23</f>
        <v>3341-501-_-RPP000</v>
      </c>
      <c r="C27" s="265"/>
      <c r="D27" s="748">
        <f>IF(OR(Wymiar_B2&lt;Wymiar_C,TYP_POKRYCIA=WYMIAR),1,0)</f>
        <v>1</v>
      </c>
      <c r="E27" s="748">
        <f>Wymiar_B2*Wymiar_A*IL_POŁACI</f>
        <v>0</v>
      </c>
      <c r="F27" s="267"/>
      <c r="G27" s="267"/>
      <c r="H27" s="267"/>
      <c r="I27" s="267"/>
      <c r="J27" s="268">
        <f>ROUND((H23*SZER501*Wymiar_B2*IL_POŁACI),3)</f>
        <v>0</v>
      </c>
      <c r="K27" s="267"/>
      <c r="L27" s="267"/>
      <c r="M27" s="267"/>
    </row>
    <row r="28" spans="1:13">
      <c r="A28" s="756"/>
      <c r="B28" s="265" t="str">
        <f>B24</f>
        <v>3341-292-_-RPP000</v>
      </c>
      <c r="C28" s="265"/>
      <c r="D28" s="756"/>
      <c r="E28" s="756"/>
      <c r="F28" s="267"/>
      <c r="G28" s="267"/>
      <c r="H28" s="267"/>
      <c r="I28" s="267"/>
      <c r="J28" s="268">
        <f>ROUND((H24*SZER292*Wymiar_B2*IL_POŁACI),3)</f>
        <v>0</v>
      </c>
      <c r="K28" s="267"/>
      <c r="L28" s="267"/>
      <c r="M28" s="267"/>
    </row>
    <row r="29" spans="1:13">
      <c r="A29" s="748" t="s">
        <v>555</v>
      </c>
      <c r="B29" s="265" t="str">
        <f>B23</f>
        <v>3341-501-_-RPP000</v>
      </c>
      <c r="C29" s="265"/>
      <c r="D29" s="748">
        <f>IF(OKAP_WYKON=PODBITKA_RĄBEK,1,0)</f>
        <v>0</v>
      </c>
      <c r="E29" s="748">
        <f>Wymiar_E*Wymiar_A*IL_POŁACI</f>
        <v>0</v>
      </c>
      <c r="F29" s="267"/>
      <c r="G29" s="267"/>
      <c r="H29" s="267"/>
      <c r="I29" s="267"/>
      <c r="J29" s="268">
        <f>ROUND((H23*SZER501*Wymiar_E*IL_POŁACI),3)</f>
        <v>0</v>
      </c>
      <c r="K29" s="267"/>
      <c r="L29" s="267"/>
      <c r="M29" s="267"/>
    </row>
    <row r="30" spans="1:13">
      <c r="A30" s="756"/>
      <c r="B30" s="265" t="str">
        <f>B24</f>
        <v>3341-292-_-RPP000</v>
      </c>
      <c r="C30" s="265"/>
      <c r="D30" s="756"/>
      <c r="E30" s="756"/>
      <c r="F30" s="267"/>
      <c r="G30" s="267"/>
      <c r="H30" s="267"/>
      <c r="I30" s="267"/>
      <c r="J30" s="268">
        <f>ROUND((H24*SZER292*Wymiar_E*IL_POŁACI),3)</f>
        <v>0</v>
      </c>
      <c r="K30" s="267"/>
      <c r="L30" s="267"/>
      <c r="M30" s="267"/>
    </row>
    <row r="31" spans="1:13">
      <c r="A31" s="746" t="s">
        <v>556</v>
      </c>
      <c r="B31" s="270" t="str">
        <f>B23</f>
        <v>3341-501-_-RPP000</v>
      </c>
      <c r="C31" s="270"/>
      <c r="D31" s="270"/>
      <c r="E31" s="270"/>
      <c r="F31" s="275"/>
      <c r="G31" s="275"/>
      <c r="H31" s="275"/>
      <c r="I31" s="275"/>
      <c r="J31" s="561">
        <f>J23*D23+J25*D25+J27*D27+J29*D29</f>
        <v>0</v>
      </c>
      <c r="K31" s="275"/>
      <c r="L31" s="275"/>
      <c r="M31" s="275"/>
    </row>
    <row r="32" spans="1:13">
      <c r="A32" s="747"/>
      <c r="B32" s="270" t="str">
        <f>B24</f>
        <v>3341-292-_-RPP000</v>
      </c>
      <c r="C32" s="270"/>
      <c r="D32" s="270"/>
      <c r="E32" s="270"/>
      <c r="F32" s="275"/>
      <c r="G32" s="275"/>
      <c r="H32" s="275"/>
      <c r="I32" s="275"/>
      <c r="J32" s="561">
        <f>J24*D23+J26*D25+J28*D27+J30*D29</f>
        <v>0</v>
      </c>
      <c r="K32" s="275"/>
      <c r="L32" s="275"/>
      <c r="M32" s="275"/>
    </row>
    <row r="35" spans="1:13" ht="51">
      <c r="A35" s="270" t="s">
        <v>562</v>
      </c>
      <c r="B35" s="265" t="s">
        <v>540</v>
      </c>
      <c r="C35" s="269" t="s">
        <v>541</v>
      </c>
      <c r="D35" s="269" t="s">
        <v>542</v>
      </c>
      <c r="E35" s="269" t="s">
        <v>543</v>
      </c>
      <c r="F35" s="269" t="s">
        <v>544</v>
      </c>
      <c r="G35" s="269" t="s">
        <v>563</v>
      </c>
      <c r="H35" s="269" t="s">
        <v>564</v>
      </c>
      <c r="I35" s="269" t="s">
        <v>565</v>
      </c>
      <c r="J35" s="269" t="s">
        <v>548</v>
      </c>
      <c r="K35" s="269" t="s">
        <v>549</v>
      </c>
      <c r="L35" s="269" t="s">
        <v>550</v>
      </c>
      <c r="M35" s="269" t="s">
        <v>566</v>
      </c>
    </row>
    <row r="36" spans="1:13">
      <c r="A36" s="748" t="s">
        <v>567</v>
      </c>
      <c r="B36" s="265" t="str">
        <f>'ZAMÓWIENIE | WYCENA'!C24</f>
        <v>3351-501-_-SPP100</v>
      </c>
      <c r="C36" s="268">
        <v>0.501</v>
      </c>
      <c r="D36" s="751">
        <f>IF(TYP_POKRYCIA=MODUŁ,1,0)</f>
        <v>0</v>
      </c>
      <c r="E36" s="277">
        <f>Wymiar_B0*Wymiar_A*IL_POŁACI</f>
        <v>0</v>
      </c>
      <c r="F36" s="278">
        <f>ROUNDUP((Wymiar_A-(F37*C36))/C36,0)</f>
        <v>0</v>
      </c>
      <c r="G36" s="279">
        <v>1</v>
      </c>
      <c r="H36" s="280">
        <f>F36</f>
        <v>0</v>
      </c>
      <c r="I36" s="280">
        <f>H36*IL_POŁACI</f>
        <v>0</v>
      </c>
      <c r="J36" s="280">
        <f>I36*G36*$C$36</f>
        <v>0</v>
      </c>
      <c r="K36" s="281">
        <f>(H36+H37)*$C$36</f>
        <v>0</v>
      </c>
      <c r="L36" s="281">
        <f>K36</f>
        <v>0</v>
      </c>
      <c r="M36" s="282" t="e">
        <f>K36/Wymiar_A</f>
        <v>#DIV/0!</v>
      </c>
    </row>
    <row r="37" spans="1:13">
      <c r="A37" s="749"/>
      <c r="B37" s="265" t="str">
        <f>'ZAMÓWIENIE | WYCENA'!C23</f>
        <v>3351-501-_-SPP200</v>
      </c>
      <c r="C37" s="265"/>
      <c r="D37" s="752"/>
      <c r="E37" s="278"/>
      <c r="F37" s="283">
        <f>ROUNDUP(Wymiar_A/C36/2,0)</f>
        <v>0</v>
      </c>
      <c r="G37" s="284">
        <v>2</v>
      </c>
      <c r="H37" s="285">
        <f>F37</f>
        <v>0</v>
      </c>
      <c r="I37" s="280">
        <f>H37*IL_POŁACI</f>
        <v>0</v>
      </c>
      <c r="J37" s="280">
        <f>I37*G37*$C$36</f>
        <v>0</v>
      </c>
      <c r="K37" s="278"/>
      <c r="L37" s="278"/>
      <c r="M37" s="278"/>
    </row>
    <row r="38" spans="1:13">
      <c r="A38" s="749"/>
      <c r="B38" s="265" t="str">
        <f>'ZAMÓWIENIE | WYCENA'!C22</f>
        <v>3351-501-_-MPP100</v>
      </c>
      <c r="C38" s="265"/>
      <c r="D38" s="752"/>
      <c r="E38" s="286" t="s">
        <v>568</v>
      </c>
      <c r="F38" s="287">
        <f>IF(AND(MOD((Wymiar_B0-1)/2,1)&gt;0,MOD((Wymiar_B0-1)/2,1)&lt;=0.5),F36,0)</f>
        <v>0</v>
      </c>
      <c r="G38" s="754">
        <v>1</v>
      </c>
      <c r="H38" s="759">
        <f>F38+F39</f>
        <v>0</v>
      </c>
      <c r="I38" s="757">
        <f>H38*IL_POŁACI</f>
        <v>0</v>
      </c>
      <c r="J38" s="759">
        <f>I38*G38*$C$36</f>
        <v>0</v>
      </c>
      <c r="K38" s="278"/>
      <c r="L38" s="278"/>
      <c r="M38" s="278"/>
    </row>
    <row r="39" spans="1:13">
      <c r="A39" s="749"/>
      <c r="B39" s="265"/>
      <c r="C39" s="265"/>
      <c r="D39" s="752"/>
      <c r="E39" s="288" t="s">
        <v>569</v>
      </c>
      <c r="F39" s="289">
        <f>IF(AND(MOD((Wymiar_B0-2)/2,1)&gt;0,MOD((Wymiar_B0-2)/2,1)&lt;=0.5),F37,0)</f>
        <v>0</v>
      </c>
      <c r="G39" s="755"/>
      <c r="H39" s="759"/>
      <c r="I39" s="758"/>
      <c r="J39" s="759"/>
      <c r="K39" s="278"/>
      <c r="L39" s="278"/>
      <c r="M39" s="278"/>
    </row>
    <row r="40" spans="1:13">
      <c r="A40" s="749"/>
      <c r="B40" s="265" t="str">
        <f>'ZAMÓWIENIE | WYCENA'!C21</f>
        <v>3351-501-_-MPP200</v>
      </c>
      <c r="C40" s="265"/>
      <c r="D40" s="752"/>
      <c r="E40" s="286" t="s">
        <v>568</v>
      </c>
      <c r="F40" s="287">
        <f>IF(MOD((Wymiar_B0-1)/2,1)&gt;0.5,ROUNDUP((Wymiar_B0-1)/2,0),ROUNDDOWN((Wymiar_B0-1)/2,0))*F36</f>
        <v>0</v>
      </c>
      <c r="G40" s="754">
        <v>2</v>
      </c>
      <c r="H40" s="759">
        <f>F40+F41</f>
        <v>0</v>
      </c>
      <c r="I40" s="757">
        <f>H40*IL_POŁACI</f>
        <v>0</v>
      </c>
      <c r="J40" s="759">
        <f>I40*G40*$C$36</f>
        <v>0</v>
      </c>
      <c r="K40" s="290" t="s">
        <v>570</v>
      </c>
      <c r="L40" s="278"/>
      <c r="M40" s="290" t="s">
        <v>571</v>
      </c>
    </row>
    <row r="41" spans="1:13">
      <c r="A41" s="750"/>
      <c r="B41" s="265"/>
      <c r="C41" s="265"/>
      <c r="D41" s="753"/>
      <c r="E41" s="288" t="s">
        <v>569</v>
      </c>
      <c r="F41" s="289">
        <f>IF(MOD((Wymiar_B0-2)/2,1)&gt;0.5,ROUNDUP((Wymiar_B0-2)/2,0),ROUNDDOWN((Wymiar_B0-2)/2,0))*F37</f>
        <v>0</v>
      </c>
      <c r="G41" s="755"/>
      <c r="H41" s="759"/>
      <c r="I41" s="758"/>
      <c r="J41" s="759"/>
      <c r="K41" s="278">
        <f>SUM(J36:J41)</f>
        <v>0</v>
      </c>
      <c r="L41" s="278"/>
      <c r="M41" s="291" t="e">
        <f>K41/E36</f>
        <v>#DIV/0!</v>
      </c>
    </row>
    <row r="42" spans="1:13">
      <c r="A42" s="290"/>
      <c r="B42" s="290"/>
      <c r="C42" s="290"/>
      <c r="D42" s="290"/>
      <c r="E42" s="290"/>
      <c r="F42" s="290"/>
      <c r="G42" s="290"/>
      <c r="H42" s="278"/>
      <c r="I42" s="278"/>
      <c r="J42" s="278"/>
      <c r="K42" s="278"/>
      <c r="L42" s="278"/>
      <c r="M42" s="278"/>
    </row>
    <row r="43" spans="1:13">
      <c r="A43" s="748" t="s">
        <v>572</v>
      </c>
      <c r="B43" s="265" t="str">
        <f>B36</f>
        <v>3351-501-_-SPP100</v>
      </c>
      <c r="C43" s="268">
        <v>0.501</v>
      </c>
      <c r="D43" s="751">
        <f>IF(AND(Wymiar_B2=Wymiar_C,TYP_POKRYCIA=MODUŁ),1,0)</f>
        <v>0</v>
      </c>
      <c r="E43" s="277">
        <f>Wymiar_B2*Wymiar_A*IL_POŁACI</f>
        <v>0</v>
      </c>
      <c r="F43" s="280">
        <f>F36</f>
        <v>0</v>
      </c>
      <c r="G43" s="279">
        <v>1</v>
      </c>
      <c r="H43" s="280">
        <f>F43</f>
        <v>0</v>
      </c>
      <c r="I43" s="280">
        <f>H43*IL_POŁACI</f>
        <v>0</v>
      </c>
      <c r="J43" s="280">
        <f>I43*G43*$C$43</f>
        <v>0</v>
      </c>
      <c r="K43" s="278"/>
      <c r="L43" s="278"/>
      <c r="M43" s="278"/>
    </row>
    <row r="44" spans="1:13">
      <c r="A44" s="749"/>
      <c r="B44" s="265" t="str">
        <f>B37</f>
        <v>3351-501-_-SPP200</v>
      </c>
      <c r="C44" s="265"/>
      <c r="D44" s="752"/>
      <c r="E44" s="278"/>
      <c r="F44" s="283">
        <f>F37</f>
        <v>0</v>
      </c>
      <c r="G44" s="284">
        <v>2</v>
      </c>
      <c r="H44" s="285">
        <f>F44</f>
        <v>0</v>
      </c>
      <c r="I44" s="280">
        <f>H44*IL_POŁACI</f>
        <v>0</v>
      </c>
      <c r="J44" s="280">
        <f>I44*G44*C43</f>
        <v>0</v>
      </c>
      <c r="K44" s="278"/>
      <c r="L44" s="278"/>
      <c r="M44" s="278"/>
    </row>
    <row r="45" spans="1:13">
      <c r="A45" s="749"/>
      <c r="B45" s="265" t="str">
        <f>B38</f>
        <v>3351-501-_-MPP100</v>
      </c>
      <c r="C45" s="265"/>
      <c r="D45" s="752"/>
      <c r="E45" s="286" t="s">
        <v>568</v>
      </c>
      <c r="F45" s="287">
        <f>IF(AND(MOD((Wymiar_B2-1)/2,1)&gt;0,MOD((Wymiar_B2-1)/2,1)&lt;=0.5),F36,0)</f>
        <v>0</v>
      </c>
      <c r="G45" s="754">
        <v>1</v>
      </c>
      <c r="H45" s="759">
        <f>F45+F46</f>
        <v>0</v>
      </c>
      <c r="I45" s="757">
        <f>H45*IL_POŁACI</f>
        <v>0</v>
      </c>
      <c r="J45" s="759">
        <f>I45*G45*$C$43</f>
        <v>0</v>
      </c>
      <c r="K45" s="278"/>
      <c r="L45" s="278"/>
      <c r="M45" s="278"/>
    </row>
    <row r="46" spans="1:13">
      <c r="A46" s="749"/>
      <c r="B46" s="265"/>
      <c r="C46" s="265"/>
      <c r="D46" s="752"/>
      <c r="E46" s="288" t="s">
        <v>569</v>
      </c>
      <c r="F46" s="289">
        <f>IF(AND(MOD((Wymiar_B2-2)/2,1)&gt;0,MOD((Wymiar_B2-2)/2,1)&lt;=0.5),F37,0)</f>
        <v>0</v>
      </c>
      <c r="G46" s="755"/>
      <c r="H46" s="759"/>
      <c r="I46" s="758"/>
      <c r="J46" s="759"/>
      <c r="K46" s="278"/>
      <c r="L46" s="278"/>
      <c r="M46" s="278"/>
    </row>
    <row r="47" spans="1:13">
      <c r="A47" s="749"/>
      <c r="B47" s="265" t="str">
        <f>B40</f>
        <v>3351-501-_-MPP200</v>
      </c>
      <c r="C47" s="265"/>
      <c r="D47" s="752"/>
      <c r="E47" s="286" t="s">
        <v>568</v>
      </c>
      <c r="F47" s="287">
        <f>IF(MOD((Wymiar_B2-1)/2,1)&gt;0.5,ROUNDUP((Wymiar_B2-1)/2,0),ROUNDDOWN((Wymiar_B2-1)/2,0))*F43</f>
        <v>0</v>
      </c>
      <c r="G47" s="754">
        <v>2</v>
      </c>
      <c r="H47" s="759">
        <f>F47+F48</f>
        <v>0</v>
      </c>
      <c r="I47" s="757">
        <f>H47*IL_POŁACI</f>
        <v>0</v>
      </c>
      <c r="J47" s="759">
        <f>I47*G47*$C$43</f>
        <v>0</v>
      </c>
      <c r="K47" s="290" t="s">
        <v>570</v>
      </c>
      <c r="L47" s="278"/>
      <c r="M47" s="290" t="s">
        <v>573</v>
      </c>
    </row>
    <row r="48" spans="1:13">
      <c r="A48" s="750"/>
      <c r="B48" s="265"/>
      <c r="C48" s="265"/>
      <c r="D48" s="753"/>
      <c r="E48" s="288" t="s">
        <v>569</v>
      </c>
      <c r="F48" s="289">
        <f>IF(MOD((Wymiar_B2-2)/2,1)&gt;0.5,ROUNDUP((Wymiar_B2-2)/2,0),ROUNDDOWN((Wymiar_B2-2)/2,0))*F44</f>
        <v>0</v>
      </c>
      <c r="G48" s="755"/>
      <c r="H48" s="759"/>
      <c r="I48" s="758"/>
      <c r="J48" s="759"/>
      <c r="K48" s="278">
        <f>SUM(J43:J48)</f>
        <v>0</v>
      </c>
      <c r="L48" s="278"/>
      <c r="M48" s="291" t="e">
        <f>K48/E43</f>
        <v>#DIV/0!</v>
      </c>
    </row>
    <row r="49" spans="1:14">
      <c r="A49" s="746" t="s">
        <v>556</v>
      </c>
      <c r="B49" s="270" t="str">
        <f>B36</f>
        <v>3351-501-_-SPP100</v>
      </c>
      <c r="C49" s="270"/>
      <c r="D49" s="270"/>
      <c r="E49" s="270"/>
      <c r="F49" s="270"/>
      <c r="G49" s="270"/>
      <c r="H49" s="270"/>
      <c r="I49" s="275">
        <f>I36*D36+I43*D43</f>
        <v>0</v>
      </c>
      <c r="J49" s="275"/>
      <c r="K49" s="270"/>
      <c r="L49" s="270"/>
      <c r="M49" s="270"/>
    </row>
    <row r="50" spans="1:14">
      <c r="A50" s="747"/>
      <c r="B50" s="270" t="str">
        <f>B37</f>
        <v>3351-501-_-SPP200</v>
      </c>
      <c r="C50" s="270"/>
      <c r="D50" s="270"/>
      <c r="E50" s="270"/>
      <c r="F50" s="270"/>
      <c r="G50" s="270"/>
      <c r="H50" s="270"/>
      <c r="I50" s="275">
        <f>I37*D36+I44*D43</f>
        <v>0</v>
      </c>
      <c r="J50" s="275"/>
      <c r="K50" s="270"/>
      <c r="L50" s="270"/>
      <c r="M50" s="270"/>
    </row>
    <row r="51" spans="1:14">
      <c r="A51" s="746"/>
      <c r="B51" s="270" t="str">
        <f>B38</f>
        <v>3351-501-_-MPP100</v>
      </c>
      <c r="C51" s="270"/>
      <c r="D51" s="270"/>
      <c r="E51" s="270"/>
      <c r="F51" s="270"/>
      <c r="G51" s="270"/>
      <c r="H51" s="270"/>
      <c r="I51" s="275">
        <f>I38*D36+I45*D43</f>
        <v>0</v>
      </c>
      <c r="J51" s="275"/>
      <c r="K51" s="270"/>
      <c r="L51" s="270"/>
      <c r="M51" s="270"/>
    </row>
    <row r="52" spans="1:14">
      <c r="A52" s="747"/>
      <c r="B52" s="270" t="str">
        <f>B40</f>
        <v>3351-501-_-MPP200</v>
      </c>
      <c r="C52" s="270"/>
      <c r="D52" s="270"/>
      <c r="E52" s="270"/>
      <c r="F52" s="270"/>
      <c r="G52" s="270"/>
      <c r="H52" s="270"/>
      <c r="I52" s="275">
        <f>I40*D36+I47*D43</f>
        <v>0</v>
      </c>
      <c r="J52" s="275"/>
      <c r="K52" s="270"/>
      <c r="L52" s="270"/>
      <c r="M52" s="270"/>
    </row>
    <row r="56" spans="1:14" s="127" customFormat="1" ht="36" customHeight="1">
      <c r="A56" s="292" t="s">
        <v>575</v>
      </c>
      <c r="B56" s="292" t="s">
        <v>540</v>
      </c>
      <c r="C56" s="292" t="s">
        <v>576</v>
      </c>
      <c r="D56" s="293" t="s">
        <v>580</v>
      </c>
      <c r="E56" s="292" t="s">
        <v>577</v>
      </c>
      <c r="F56" s="292" t="s">
        <v>578</v>
      </c>
      <c r="G56" s="292" t="s">
        <v>579</v>
      </c>
      <c r="H56" s="294" t="s">
        <v>581</v>
      </c>
    </row>
    <row r="57" spans="1:14" s="264" customFormat="1" ht="15" customHeight="1">
      <c r="A57" s="296" t="str">
        <f>'ZAMÓWIENIE | WYCENA'!B32</f>
        <v>Blacha płaska foliowana arkusz 125x200cm/0,5mm</v>
      </c>
      <c r="B57" s="553" t="str">
        <f>'ZAMÓWIENIE | WYCENA'!C32</f>
        <v>3330-125-_-BPF000</v>
      </c>
      <c r="C57" s="276"/>
      <c r="D57" s="297"/>
      <c r="E57" s="276"/>
      <c r="F57" s="276"/>
      <c r="G57" s="276"/>
      <c r="H57" s="298"/>
      <c r="I57" s="299"/>
      <c r="J57" s="299"/>
      <c r="K57" s="299"/>
      <c r="L57" s="299"/>
      <c r="M57" s="299"/>
      <c r="N57" s="299"/>
    </row>
    <row r="58" spans="1:14" s="264" customFormat="1" ht="15" customHeight="1">
      <c r="A58" s="296" t="str">
        <f>'ZAMÓWIENIE | WYCENA'!B37</f>
        <v>Gąsior mały do panelu na rąbek 220mm/200cm</v>
      </c>
      <c r="B58" s="553" t="str">
        <f>'ZAMÓWIENIE | WYCENA'!C37</f>
        <v>3341-220-_-GSR200</v>
      </c>
      <c r="C58" s="276">
        <v>1.9</v>
      </c>
      <c r="D58" s="297">
        <f>IF(B13=J2,1,0)</f>
        <v>0</v>
      </c>
      <c r="E58" s="276"/>
      <c r="F58" s="276"/>
      <c r="G58" s="276"/>
      <c r="H58" s="298">
        <f>ROUNDUP((Wymiar_A)/C58,0)*D58</f>
        <v>0</v>
      </c>
      <c r="I58" s="299"/>
      <c r="J58" s="299"/>
      <c r="K58" s="299"/>
      <c r="L58" s="299"/>
      <c r="M58" s="299"/>
      <c r="N58" s="299"/>
    </row>
    <row r="59" spans="1:14" s="264" customFormat="1" ht="15" customHeight="1">
      <c r="A59" s="296" t="str">
        <f>'ZAMÓWIENIE | WYCENA'!B38</f>
        <v>Gąsior duży do panelu na rąbek 293mm/200cm</v>
      </c>
      <c r="B59" s="553" t="str">
        <f>'ZAMÓWIENIE | WYCENA'!C38</f>
        <v>3341-293-_-GSR200</v>
      </c>
      <c r="C59" s="276">
        <v>1.9</v>
      </c>
      <c r="D59" s="297">
        <f>IF(B13=J3,1,0)</f>
        <v>1</v>
      </c>
      <c r="E59" s="276"/>
      <c r="F59" s="276"/>
      <c r="G59" s="276"/>
      <c r="H59" s="298">
        <f>ROUNDUP((Wymiar_A)/C59,0)*D59</f>
        <v>0</v>
      </c>
      <c r="I59" s="299"/>
      <c r="J59" s="299"/>
      <c r="K59" s="299"/>
      <c r="L59" s="299"/>
      <c r="M59" s="299"/>
      <c r="N59" s="299"/>
    </row>
    <row r="60" spans="1:14" s="264" customFormat="1" ht="15" customHeight="1">
      <c r="A60" s="296" t="str">
        <f>'ZAMÓWIENIE | WYCENA'!B39</f>
        <v xml:space="preserve">Pas startowy nadrynnowy do panelu na rąbek 200cm </v>
      </c>
      <c r="B60" s="554" t="str">
        <f>'ZAMÓWIENIE | WYCENA'!C39</f>
        <v>3341-000-_-PSN200</v>
      </c>
      <c r="C60" s="276">
        <v>1.9</v>
      </c>
      <c r="D60" s="297">
        <v>0</v>
      </c>
      <c r="E60" s="276"/>
      <c r="F60" s="276"/>
      <c r="H60" s="276">
        <f>ROUNDUP((Wymiar_A*IL_POŁACI)/C60,0)*D60</f>
        <v>0</v>
      </c>
      <c r="I60" s="569" t="s">
        <v>757</v>
      </c>
      <c r="J60" s="569" t="s">
        <v>583</v>
      </c>
      <c r="K60" s="299"/>
      <c r="L60" s="299"/>
      <c r="M60" s="299"/>
      <c r="N60" s="299"/>
    </row>
    <row r="61" spans="1:14" s="264" customFormat="1" ht="15" customHeight="1">
      <c r="A61" s="296" t="str">
        <f>'ZAMÓWIENIE | WYCENA'!B40</f>
        <v xml:space="preserve">Pas startowy nadrynnowy wentylacyjny do panelu na rąbek 200cm </v>
      </c>
      <c r="B61" s="554" t="str">
        <f>'ZAMÓWIENIE | WYCENA'!C40</f>
        <v>3341-000-_-PSW200</v>
      </c>
      <c r="C61" s="276">
        <v>1.9</v>
      </c>
      <c r="D61" s="297">
        <v>0</v>
      </c>
      <c r="E61" s="276"/>
      <c r="F61" s="276"/>
      <c r="G61" s="276"/>
      <c r="H61" s="276">
        <f>ROUNDUP((Wymiar_A*IL_POŁACI)/C61,0)*D61</f>
        <v>0</v>
      </c>
      <c r="I61" s="569" t="s">
        <v>757</v>
      </c>
      <c r="J61" s="569" t="s">
        <v>583</v>
      </c>
      <c r="K61" s="299"/>
      <c r="L61" s="299"/>
      <c r="M61" s="299"/>
      <c r="N61" s="299"/>
    </row>
    <row r="62" spans="1:14" s="264" customFormat="1" ht="15" customHeight="1">
      <c r="A62" s="296" t="str">
        <f>'ZAMÓWIENIE | WYCENA'!B41</f>
        <v>Wiatrownica do panelu na rąbek 150mm/200cm</v>
      </c>
      <c r="B62" s="555" t="str">
        <f>'ZAMÓWIENIE | WYCENA'!C41</f>
        <v>3341-000-_-WTA200</v>
      </c>
      <c r="C62" s="276">
        <v>1.9</v>
      </c>
      <c r="D62" s="297"/>
      <c r="E62" s="276"/>
      <c r="F62" s="276"/>
      <c r="G62" s="276"/>
      <c r="H62" s="298">
        <v>0</v>
      </c>
      <c r="I62" s="569" t="s">
        <v>759</v>
      </c>
      <c r="J62" s="569" t="s">
        <v>583</v>
      </c>
      <c r="K62" s="299"/>
      <c r="L62" s="299"/>
      <c r="M62" s="299"/>
      <c r="N62" s="299"/>
    </row>
    <row r="63" spans="1:14" s="264" customFormat="1" ht="15" customHeight="1">
      <c r="A63" s="296" t="str">
        <f>'ZAMÓWIENIE | WYCENA'!B42</f>
        <v>Wiatrownica wysoka do panelu na rąbek 220mm/200cm</v>
      </c>
      <c r="B63" s="555" t="str">
        <f>'ZAMÓWIENIE | WYCENA'!C42</f>
        <v>3341-220-_-WTA200</v>
      </c>
      <c r="C63" s="276">
        <v>1.9</v>
      </c>
      <c r="D63" s="297"/>
      <c r="E63" s="276"/>
      <c r="F63" s="276"/>
      <c r="G63" s="276"/>
      <c r="H63" s="298">
        <f>ROUNDUP(WYS_POŁACI*2*IL_POŁACI/C63,0)</f>
        <v>0</v>
      </c>
      <c r="I63" s="569"/>
      <c r="J63" s="569"/>
      <c r="K63" s="299"/>
      <c r="L63" s="299"/>
      <c r="M63" s="299"/>
      <c r="N63" s="299"/>
    </row>
    <row r="64" spans="1:14" s="264" customFormat="1" ht="15" customHeight="1">
      <c r="A64" s="296" t="str">
        <f>'ZAMÓWIENIE | WYCENA'!B43</f>
        <v>Wiatrownica przedłużająca 215mm/200cm</v>
      </c>
      <c r="B64" s="553" t="str">
        <f>'ZAMÓWIENIE | WYCENA'!C43</f>
        <v>3331-000-_-WTP200</v>
      </c>
      <c r="C64" s="276">
        <v>1.9</v>
      </c>
      <c r="D64" s="297"/>
      <c r="E64" s="276"/>
      <c r="F64" s="276"/>
      <c r="G64" s="276"/>
      <c r="H64" s="298">
        <f>ROUNDUP(WYS_POŁACI*2*IL_POŁACI/C64,0)</f>
        <v>0</v>
      </c>
      <c r="I64" s="569"/>
      <c r="J64" s="569"/>
      <c r="K64" s="299"/>
      <c r="L64" s="299"/>
      <c r="M64" s="299"/>
      <c r="N64" s="299"/>
    </row>
    <row r="65" spans="1:14" s="264" customFormat="1" ht="15" customHeight="1">
      <c r="A65" s="296" t="str">
        <f>'ZAMÓWIENIE | WYCENA'!B44</f>
        <v xml:space="preserve">Listwa wentylacyjna podgąsiorowa do panelu na rąbek
292mm/270mm </v>
      </c>
      <c r="B65" s="553" t="str">
        <f>'ZAMÓWIENIE | WYCENA'!C44</f>
        <v>3340-000-_-LSP027</v>
      </c>
      <c r="C65" s="276"/>
      <c r="D65" s="297"/>
      <c r="E65" s="276"/>
      <c r="F65" s="276"/>
      <c r="G65" s="276"/>
      <c r="H65" s="298">
        <f>I24</f>
        <v>0</v>
      </c>
      <c r="I65" s="569"/>
      <c r="J65" s="569"/>
      <c r="K65" s="299"/>
      <c r="L65" s="299"/>
      <c r="M65" s="299"/>
      <c r="N65" s="299"/>
    </row>
    <row r="66" spans="1:14" s="264" customFormat="1" ht="15" customHeight="1">
      <c r="A66" s="296" t="str">
        <f>'ZAMÓWIENIE | WYCENA'!B45</f>
        <v>Listwa wentylacyjna podgąsiorowa do panelu na rąbek 501mm/480mm</v>
      </c>
      <c r="B66" s="553" t="str">
        <f>'ZAMÓWIENIE | WYCENA'!C45</f>
        <v>3340-000-_-LSP048</v>
      </c>
      <c r="C66" s="276"/>
      <c r="D66" s="297"/>
      <c r="E66" s="276"/>
      <c r="F66" s="276"/>
      <c r="G66" s="276"/>
      <c r="H66" s="298">
        <f>I23</f>
        <v>0</v>
      </c>
      <c r="I66" s="569"/>
      <c r="J66" s="569"/>
      <c r="K66" s="299"/>
      <c r="L66" s="299"/>
      <c r="M66" s="299"/>
      <c r="N66" s="299"/>
    </row>
    <row r="67" spans="1:14" s="264" customFormat="1" ht="15" customHeight="1">
      <c r="A67" s="296" t="str">
        <f>'ZAMÓWIENIE | WYCENA'!B46</f>
        <v>Listwa wentylacyjna podgąsiorowa do panelu na rąbek 200cm</v>
      </c>
      <c r="B67" s="555" t="str">
        <f>'ZAMÓWIENIE | WYCENA'!C46</f>
        <v>3340-000-_-LSP200</v>
      </c>
      <c r="C67" s="276"/>
      <c r="D67" s="297"/>
      <c r="E67" s="276"/>
      <c r="F67" s="276"/>
      <c r="G67" s="276"/>
      <c r="H67" s="298">
        <v>0</v>
      </c>
      <c r="I67" s="569" t="s">
        <v>763</v>
      </c>
      <c r="J67" s="569" t="s">
        <v>583</v>
      </c>
      <c r="K67" s="299"/>
      <c r="L67" s="299"/>
      <c r="M67" s="299"/>
      <c r="N67" s="299"/>
    </row>
    <row r="68" spans="1:14" s="264" customFormat="1" ht="15" customHeight="1">
      <c r="A68" s="296" t="str">
        <f>'ZAMÓWIENIE | WYCENA'!B47</f>
        <v>Listwa startowa wentylacyjna do elewacji w panelu na rąbek 200cm</v>
      </c>
      <c r="B68" s="553" t="str">
        <f>'ZAMÓWIENIE | WYCENA'!C47</f>
        <v>3340-000-_-LSE200</v>
      </c>
      <c r="C68" s="276">
        <v>1.9</v>
      </c>
      <c r="D68" s="297">
        <f>IF(Wymiar_B2&gt;0,1,0)</f>
        <v>0</v>
      </c>
      <c r="E68" s="276"/>
      <c r="F68" s="276"/>
      <c r="G68" s="276"/>
      <c r="H68" s="298">
        <f>ROUNDUP((Wymiar_A*IL_POŁACI)/C68,0)*D68</f>
        <v>0</v>
      </c>
      <c r="I68" s="569"/>
      <c r="J68" s="569"/>
      <c r="K68" s="299"/>
      <c r="L68" s="299"/>
      <c r="M68" s="299"/>
      <c r="N68" s="299"/>
    </row>
    <row r="69" spans="1:14" ht="15" customHeight="1">
      <c r="A69" s="296"/>
      <c r="B69" s="296"/>
      <c r="C69" s="276"/>
      <c r="D69" s="297"/>
      <c r="E69" s="276"/>
      <c r="F69" s="276"/>
      <c r="G69" s="276"/>
      <c r="H69" s="298"/>
      <c r="I69" s="570"/>
      <c r="J69" s="570"/>
      <c r="K69" s="261"/>
      <c r="L69" s="261"/>
      <c r="M69" s="261"/>
      <c r="N69" s="261"/>
    </row>
    <row r="70" spans="1:14" ht="15" customHeight="1">
      <c r="A70" s="296" t="str">
        <f>'ZAMÓWIENIE | WYCENA'!B52</f>
        <v>Farba zaprawkowa 100ml</v>
      </c>
      <c r="B70" s="553" t="str">
        <f>'ZAMÓWIENIE | WYCENA'!C52</f>
        <v>3320-000-_-FZA100</v>
      </c>
      <c r="C70" s="276"/>
      <c r="D70" s="297"/>
      <c r="E70" s="276"/>
      <c r="F70" s="276"/>
      <c r="G70" s="276"/>
      <c r="H70" s="298">
        <v>1</v>
      </c>
      <c r="I70" s="570"/>
      <c r="J70" s="570"/>
      <c r="K70" s="261"/>
      <c r="L70" s="261"/>
      <c r="M70" s="261"/>
      <c r="N70" s="261"/>
    </row>
    <row r="71" spans="1:14" ht="15" customHeight="1">
      <c r="A71" s="296" t="str">
        <f>'ZAMÓWIENIE | WYCENA'!B53</f>
        <v>Wkręt TORX 4,8x35mm (op. 250szt.)</v>
      </c>
      <c r="B71" s="553" t="str">
        <f>'ZAMÓWIENIE | WYCENA'!C53</f>
        <v>3320-035-_-WTX250</v>
      </c>
      <c r="C71" s="276">
        <v>1.9</v>
      </c>
      <c r="D71" s="297"/>
      <c r="E71" s="276">
        <v>250</v>
      </c>
      <c r="F71" s="276">
        <f>(Wymiar_A/C71*8)+(WYS_POŁACI/C71*4*2*IL_POŁACI)</f>
        <v>0</v>
      </c>
      <c r="G71" s="276"/>
      <c r="H71" s="298">
        <f>ROUNDUP(F71/E71,0)</f>
        <v>0</v>
      </c>
      <c r="I71" s="570"/>
      <c r="J71" s="570"/>
      <c r="K71" s="261"/>
      <c r="L71" s="261"/>
      <c r="M71" s="261"/>
      <c r="N71" s="261"/>
    </row>
    <row r="72" spans="1:14" ht="15" customHeight="1">
      <c r="A72" s="296" t="str">
        <f>'ZAMÓWIENIE | WYCENA'!B54</f>
        <v>Wkręt TORX zakładkowy 4,8x20mm (op. 250szt.)</v>
      </c>
      <c r="B72" s="555" t="str">
        <f>'ZAMÓWIENIE | WYCENA'!C54</f>
        <v>3320-020-_-WTZ250</v>
      </c>
      <c r="C72" s="276"/>
      <c r="D72" s="297"/>
      <c r="E72" s="276"/>
      <c r="F72" s="276"/>
      <c r="G72" s="276"/>
      <c r="H72" s="298">
        <v>0</v>
      </c>
      <c r="I72" s="569" t="s">
        <v>758</v>
      </c>
      <c r="J72" s="569" t="s">
        <v>583</v>
      </c>
      <c r="K72" s="261"/>
      <c r="L72" s="261"/>
      <c r="M72" s="261"/>
      <c r="N72" s="261"/>
    </row>
    <row r="73" spans="1:14" ht="15" customHeight="1">
      <c r="A73" s="296" t="str">
        <f>'ZAMÓWIENIE | WYCENA'!B55</f>
        <v>Wkręt farmerski 4,8x35mm (op. 250szt.)</v>
      </c>
      <c r="B73" s="555" t="str">
        <f>'ZAMÓWIENIE | WYCENA'!C55</f>
        <v>3320-035-_-WFR250</v>
      </c>
      <c r="C73" s="276"/>
      <c r="D73" s="297"/>
      <c r="E73" s="276"/>
      <c r="F73" s="276"/>
      <c r="G73" s="276"/>
      <c r="H73" s="298"/>
      <c r="I73" s="569" t="s">
        <v>760</v>
      </c>
      <c r="J73" s="569" t="s">
        <v>583</v>
      </c>
      <c r="K73" s="261"/>
      <c r="L73" s="261"/>
      <c r="M73" s="261"/>
      <c r="N73" s="261"/>
    </row>
    <row r="74" spans="1:14" ht="15" customHeight="1">
      <c r="A74" s="296" t="str">
        <f>'ZAMÓWIENIE | WYCENA'!B56</f>
        <v>Zaślepka silikonowa lewa do panelu na rąbek</v>
      </c>
      <c r="B74" s="553" t="str">
        <f>'ZAMÓWIENIE | WYCENA'!C56</f>
        <v>1110-000-_-RZL000</v>
      </c>
      <c r="C74" s="276"/>
      <c r="D74" s="297"/>
      <c r="E74" s="276">
        <f>IL_POŁACI-1</f>
        <v>1</v>
      </c>
      <c r="F74" s="276"/>
      <c r="G74" s="276"/>
      <c r="H74" s="276">
        <f>(H23+H24)*E74</f>
        <v>0</v>
      </c>
      <c r="I74" s="570"/>
      <c r="J74" s="570"/>
      <c r="K74" s="261"/>
      <c r="L74" s="261"/>
      <c r="M74" s="261"/>
      <c r="N74" s="261"/>
    </row>
    <row r="75" spans="1:14" ht="15" customHeight="1">
      <c r="A75" s="296" t="str">
        <f>'ZAMÓWIENIE | WYCENA'!B57</f>
        <v>Zaślepka silikonowa prawa do panelu na rąbek</v>
      </c>
      <c r="B75" s="553" t="str">
        <f>'ZAMÓWIENIE | WYCENA'!C57</f>
        <v>1110-000-_-RZP000</v>
      </c>
      <c r="C75" s="276"/>
      <c r="D75" s="297"/>
      <c r="E75" s="276">
        <f>IL_POŁACI-E74</f>
        <v>1</v>
      </c>
      <c r="F75" s="276"/>
      <c r="G75" s="276"/>
      <c r="H75" s="276">
        <f>(I23+I24)-H74</f>
        <v>0</v>
      </c>
      <c r="I75" s="570"/>
      <c r="J75" s="570"/>
      <c r="K75" s="261"/>
      <c r="L75" s="261"/>
      <c r="M75" s="261"/>
      <c r="N75" s="261"/>
    </row>
    <row r="76" spans="1:14" ht="4.9000000000000004" customHeight="1">
      <c r="A76" s="296"/>
      <c r="B76" s="296"/>
      <c r="C76" s="276"/>
      <c r="D76" s="297"/>
      <c r="E76" s="276"/>
      <c r="F76" s="276"/>
      <c r="G76" s="276"/>
      <c r="H76" s="276"/>
      <c r="I76" s="570"/>
      <c r="J76" s="570"/>
      <c r="K76" s="261"/>
      <c r="L76" s="261"/>
      <c r="M76" s="261"/>
      <c r="N76" s="261"/>
    </row>
    <row r="77" spans="1:14" ht="15" customHeight="1">
      <c r="A77" s="296" t="str">
        <f>'ZAMÓWIENIE | WYCENA'!B59</f>
        <v>Wkręt ocynkowany do panelu na rąbek 4,2x25mm (op. 500szt.)</v>
      </c>
      <c r="B77" s="553" t="str">
        <f>'ZAMÓWIENIE | WYCENA'!C59</f>
        <v>3340-025-000X-WOR500</v>
      </c>
      <c r="C77" s="276">
        <v>500</v>
      </c>
      <c r="D77" s="297"/>
      <c r="E77" s="276" t="s">
        <v>584</v>
      </c>
      <c r="F77" s="276">
        <f>(I23+I24)*(WYS_POŁACI+Wymiar_B2)*3.33</f>
        <v>0</v>
      </c>
      <c r="G77" s="276"/>
      <c r="H77" s="298">
        <f>ROUNDUP(F77/C77,0)</f>
        <v>0</v>
      </c>
      <c r="I77" s="570"/>
      <c r="J77" s="570"/>
      <c r="K77" s="261"/>
      <c r="L77" s="261"/>
      <c r="M77" s="261"/>
      <c r="N77" s="261"/>
    </row>
    <row r="78" spans="1:14">
      <c r="A78" s="296" t="str">
        <f>'ZAMÓWIENIE | WYCENA'!B60</f>
        <v>Wkręty do podsufitki/panelu 4,2x19mm (op. 1000szt)</v>
      </c>
      <c r="B78" s="555" t="str">
        <f>'ZAMÓWIENIE | WYCENA'!C60</f>
        <v>2210-019-000X-WPO1000</v>
      </c>
      <c r="C78" s="276">
        <v>1000</v>
      </c>
      <c r="D78" s="297">
        <v>0</v>
      </c>
      <c r="E78" s="276"/>
      <c r="F78" s="276">
        <f>(I23+I24)*(WYS_POŁACI+Wymiar_B2)*3.33</f>
        <v>0</v>
      </c>
      <c r="G78" s="276"/>
      <c r="H78" s="298">
        <f>ROUNDUP(F78/C78,0)*D78</f>
        <v>0</v>
      </c>
      <c r="I78" s="569" t="s">
        <v>761</v>
      </c>
      <c r="J78" s="569" t="s">
        <v>583</v>
      </c>
      <c r="K78" s="261"/>
      <c r="L78" s="261"/>
      <c r="M78" s="261"/>
      <c r="N78" s="261"/>
    </row>
    <row r="79" spans="1:14">
      <c r="A79" s="296" t="str">
        <f>'ZAMÓWIENIE | WYCENA'!B61</f>
        <v>Wkręt ocynkowany samowiercący do połączenia stal-stal 4,2x16mm (op. 1000szt)</v>
      </c>
      <c r="B79" s="553" t="str">
        <f>'ZAMÓWIENIE | WYCENA'!C61</f>
        <v>1000-016-000X-WOS000</v>
      </c>
      <c r="C79" s="276"/>
      <c r="D79" s="297"/>
      <c r="E79" s="276"/>
      <c r="F79" s="276"/>
      <c r="G79" s="276"/>
      <c r="H79" s="298">
        <v>1</v>
      </c>
      <c r="I79" s="570" t="s">
        <v>595</v>
      </c>
      <c r="J79" s="569" t="s">
        <v>596</v>
      </c>
      <c r="K79" s="261"/>
      <c r="L79" s="261"/>
      <c r="M79" s="261"/>
      <c r="N79" s="261"/>
    </row>
    <row r="80" spans="1:14">
      <c r="A80" s="296"/>
      <c r="B80" s="296"/>
      <c r="C80" s="276"/>
      <c r="D80" s="297"/>
      <c r="E80" s="276"/>
      <c r="F80" s="276"/>
      <c r="G80" s="276"/>
      <c r="H80" s="298"/>
      <c r="I80" s="261"/>
      <c r="J80" s="261"/>
      <c r="K80" s="261"/>
      <c r="L80" s="261"/>
      <c r="M80" s="261"/>
      <c r="N80" s="261"/>
    </row>
    <row r="81" spans="1:14">
      <c r="A81" s="296" t="str">
        <f>'ZAMÓWIENIE | WYCENA'!B67</f>
        <v>Rynna 4mb (efektywna 3,93mb) STAL</v>
      </c>
      <c r="B81" s="553" t="str">
        <f>'ZAMÓWIENIE | WYCENA'!C67</f>
        <v>1111-190-_-RYN400</v>
      </c>
      <c r="C81" s="276">
        <v>3.93</v>
      </c>
      <c r="D81" s="297"/>
      <c r="E81" s="276"/>
      <c r="F81" s="276"/>
      <c r="G81" s="276"/>
      <c r="H81" s="298">
        <f>ROUNDUP(((Wymiar_A-E82)/C81*IL_POŁACI),0)</f>
        <v>1</v>
      </c>
      <c r="I81" s="261"/>
      <c r="J81" s="261"/>
      <c r="K81" s="261"/>
      <c r="L81" s="261"/>
      <c r="M81" s="261"/>
      <c r="N81" s="261"/>
    </row>
    <row r="82" spans="1:14">
      <c r="A82" s="296" t="str">
        <f>'ZAMÓWIENIE | WYCENA'!B68</f>
        <v>Rynna łącząca obustronnie tłoczona 58cm (efek. 44cm) STAL</v>
      </c>
      <c r="B82" s="553" t="str">
        <f>'ZAMÓWIENIE | WYCENA'!C68</f>
        <v>1111-190-_-RYL058</v>
      </c>
      <c r="C82" s="276">
        <v>0.44</v>
      </c>
      <c r="D82" s="297">
        <f>IF(TYP_DACHU=TYP_OKAPOWY,1,0)</f>
        <v>1</v>
      </c>
      <c r="E82" s="276">
        <f>IFERROR(H82/IL_POŁACI*C82,0)</f>
        <v>-0.44</v>
      </c>
      <c r="F82" s="276"/>
      <c r="G82" s="276"/>
      <c r="H82" s="298">
        <f>(IL_PIONÓW_SPUSTOWYCH-1)*IL_POŁACI*D82</f>
        <v>-2</v>
      </c>
      <c r="I82" s="261"/>
      <c r="J82" s="261"/>
      <c r="K82" s="261"/>
      <c r="L82" s="261"/>
      <c r="M82" s="261"/>
      <c r="N82" s="261"/>
    </row>
    <row r="83" spans="1:14">
      <c r="A83" s="296" t="str">
        <f>'ZAMÓWIENIE | WYCENA'!B69</f>
        <v>Wspornik 4mm STAL</v>
      </c>
      <c r="B83" s="553" t="str">
        <f>'ZAMÓWIENIE | WYCENA'!C69</f>
        <v>1111-190-_-WSP004</v>
      </c>
      <c r="C83" s="276"/>
      <c r="D83" s="297"/>
      <c r="E83" s="276">
        <f>Wymiar_A*IL_POŁACI</f>
        <v>0</v>
      </c>
      <c r="F83" s="276">
        <v>1.67</v>
      </c>
      <c r="G83" s="276"/>
      <c r="H83" s="298">
        <f>ROUND(E83*F83+IL_POŁACI*2,0)</f>
        <v>4</v>
      </c>
      <c r="I83" s="261"/>
      <c r="J83" s="261"/>
      <c r="K83" s="261"/>
      <c r="L83" s="261"/>
      <c r="M83" s="261"/>
      <c r="N83" s="261"/>
    </row>
    <row r="84" spans="1:14">
      <c r="A84" s="296" t="str">
        <f>'ZAMÓWIENIE | WYCENA'!B70</f>
        <v>Odpływ okapowy 190mm/80x70mm/60mm STAL</v>
      </c>
      <c r="B84" s="553" t="str">
        <f>'ZAMÓWIENIE | WYCENA'!C70</f>
        <v>1111-190-_-OPO080</v>
      </c>
      <c r="C84" s="276"/>
      <c r="D84" s="297">
        <f>IF(TYP_DACHU=TYP_OKAPOWY,1,0)</f>
        <v>1</v>
      </c>
      <c r="E84" s="276"/>
      <c r="F84" s="276"/>
      <c r="G84" s="276"/>
      <c r="H84" s="298">
        <f>IL_PIONÓW_SPUSTOWYCH*IL_POŁACI*D84</f>
        <v>0</v>
      </c>
      <c r="I84" s="261"/>
      <c r="J84" s="261"/>
      <c r="K84" s="261"/>
      <c r="L84" s="261"/>
      <c r="M84" s="261"/>
      <c r="N84" s="261"/>
    </row>
    <row r="85" spans="1:14">
      <c r="A85" s="300" t="s">
        <v>586</v>
      </c>
      <c r="B85" s="556" t="str">
        <f>'ZAMÓWIENIE | WYCENA'!C71</f>
        <v>1111-190-_-OPB080</v>
      </c>
      <c r="C85" s="276"/>
      <c r="D85" s="297">
        <f>IF(TYP_DACHU=TYP_BEZOKAPOWY,1,0)</f>
        <v>0</v>
      </c>
      <c r="E85" s="276"/>
      <c r="F85" s="276"/>
      <c r="G85" s="276"/>
      <c r="H85" s="298">
        <f>IL_PIONÓW_SPUSTOWYCH*IL_POŁACI*D85</f>
        <v>0</v>
      </c>
      <c r="I85" s="261"/>
      <c r="J85" s="261"/>
      <c r="K85" s="261"/>
      <c r="L85" s="261"/>
      <c r="M85" s="261"/>
      <c r="N85" s="261"/>
    </row>
    <row r="86" spans="1:14">
      <c r="A86" s="296" t="str">
        <f>'ZAMÓWIENIE | WYCENA'!B72</f>
        <v>Zaślepka uniwersalna 190mm STAL</v>
      </c>
      <c r="B86" s="553" t="str">
        <f>'ZAMÓWIENIE | WYCENA'!C72</f>
        <v>1111-190-_-ZUS000</v>
      </c>
      <c r="C86" s="276"/>
      <c r="D86" s="297"/>
      <c r="E86" s="276"/>
      <c r="F86" s="276"/>
      <c r="G86" s="276"/>
      <c r="H86" s="298">
        <f>IL_POŁACI*2</f>
        <v>4</v>
      </c>
      <c r="I86" s="261"/>
      <c r="J86" s="261"/>
      <c r="K86" s="261"/>
      <c r="L86" s="261"/>
      <c r="M86" s="261"/>
      <c r="N86" s="261"/>
    </row>
    <row r="87" spans="1:14" ht="4.9000000000000004" customHeight="1">
      <c r="A87" s="296"/>
      <c r="B87" s="296"/>
      <c r="C87" s="276"/>
      <c r="D87" s="297"/>
      <c r="E87" s="276"/>
      <c r="F87" s="276"/>
      <c r="G87" s="276"/>
      <c r="H87" s="298"/>
      <c r="I87" s="261"/>
      <c r="J87" s="261"/>
      <c r="K87" s="261"/>
      <c r="L87" s="261"/>
      <c r="M87" s="261"/>
      <c r="N87" s="261"/>
    </row>
    <row r="88" spans="1:14" ht="13.15" customHeight="1">
      <c r="A88" s="296" t="str">
        <f>'ZAMÓWIENIE | WYCENA'!B75</f>
        <v>Pas startowy panelu dachowego przy panelu podokapowym GRIN 200cm STAL</v>
      </c>
      <c r="B88" s="553" t="str">
        <f>'ZAMÓWIENIE | WYCENA'!C75</f>
        <v>1110-000-_-POS200</v>
      </c>
      <c r="C88" s="276">
        <v>1.9</v>
      </c>
      <c r="D88" s="297">
        <f>IF(TYP_DACHU=TYP_OKAPOWY,1,0)</f>
        <v>1</v>
      </c>
      <c r="E88" s="276" t="s">
        <v>587</v>
      </c>
      <c r="F88" s="276"/>
      <c r="G88" s="276"/>
      <c r="H88" s="298">
        <f>ROUNDUP((Wymiar_A*IL_POŁACI)/C88,0)*D88</f>
        <v>0</v>
      </c>
      <c r="I88" s="261"/>
      <c r="J88" s="261"/>
      <c r="K88" s="261"/>
      <c r="L88" s="261"/>
      <c r="M88" s="261"/>
      <c r="N88" s="261"/>
    </row>
    <row r="89" spans="1:14">
      <c r="A89" s="296" t="str">
        <f>'ZAMÓWIENIE | WYCENA'!B76</f>
        <v>Pas skroplinowy nakrokwiowy do panelu podokapowego GRIN 200cm STAL</v>
      </c>
      <c r="B89" s="553" t="str">
        <f>'ZAMÓWIENIE | WYCENA'!C76</f>
        <v>1110-000-_-PON200</v>
      </c>
      <c r="C89" s="276">
        <v>1.9</v>
      </c>
      <c r="D89" s="297">
        <f>IF(AND(TYP_DACHU=TYP_OKAPOWY,OKAP_WYKON=PODBITKA_RĄBEK),1,0)</f>
        <v>0</v>
      </c>
      <c r="E89" s="276" t="s">
        <v>588</v>
      </c>
      <c r="F89" s="276"/>
      <c r="G89" s="276"/>
      <c r="H89" s="298">
        <f>ROUNDUP((Wymiar_A*IL_POŁACI)/C89,0)*D89</f>
        <v>0</v>
      </c>
      <c r="I89" s="261"/>
      <c r="J89" s="261"/>
      <c r="K89" s="261"/>
      <c r="L89" s="261"/>
      <c r="M89" s="261"/>
      <c r="N89" s="261"/>
    </row>
    <row r="90" spans="1:14">
      <c r="A90" s="296" t="str">
        <f>'ZAMÓWIENIE | WYCENA'!B77</f>
        <v>Pas startowy wentylacyjny do panelu podokapowego GRIN 200cm STAL</v>
      </c>
      <c r="B90" s="553" t="str">
        <f>'ZAMÓWIENIE | WYCENA'!C77</f>
        <v>1110-000-_-POW200</v>
      </c>
      <c r="C90" s="276">
        <v>1.9</v>
      </c>
      <c r="D90" s="297">
        <f>IF(TYP_DACHU=TYP_OKAPOWY,1,0)</f>
        <v>1</v>
      </c>
      <c r="E90" s="276" t="s">
        <v>587</v>
      </c>
      <c r="F90" s="276"/>
      <c r="G90" s="276"/>
      <c r="H90" s="298">
        <f>ROUNDUP((Wymiar_A*IL_POŁACI)/C90,0)*D90</f>
        <v>0</v>
      </c>
      <c r="I90" s="261"/>
      <c r="J90" s="261"/>
      <c r="K90" s="261"/>
      <c r="L90" s="261"/>
      <c r="M90" s="261"/>
      <c r="N90" s="261"/>
    </row>
    <row r="91" spans="1:14">
      <c r="A91" s="296" t="str">
        <f>'ZAMÓWIENIE | WYCENA'!B78</f>
        <v>Listwa J do panelu podokapowego GRIN 200cm STAL</v>
      </c>
      <c r="B91" s="553" t="str">
        <f>'ZAMÓWIENIE | WYCENA'!C78</f>
        <v>1110-000-_-LOJ200</v>
      </c>
      <c r="C91" s="276">
        <v>1.9</v>
      </c>
      <c r="D91" s="297">
        <f>IF(AND(TYP_DACHU=TYP_OKAPOWY,OKAP_WYKON=PODBITKA_RĄBEK),1,0)</f>
        <v>0</v>
      </c>
      <c r="E91" s="276" t="s">
        <v>589</v>
      </c>
      <c r="F91" s="276"/>
      <c r="G91" s="276"/>
      <c r="H91" s="298">
        <f>ROUNDUP((Wymiar_A*IL_POŁACI)/C91,0)*D91</f>
        <v>0</v>
      </c>
      <c r="I91" s="261"/>
      <c r="J91" s="261"/>
      <c r="K91" s="261"/>
      <c r="L91" s="261"/>
      <c r="M91" s="261"/>
      <c r="N91" s="261"/>
    </row>
    <row r="92" spans="1:14" ht="6" customHeight="1">
      <c r="A92" s="296"/>
      <c r="B92" s="296"/>
      <c r="C92" s="276"/>
      <c r="D92" s="297"/>
      <c r="E92" s="276"/>
      <c r="F92" s="276"/>
      <c r="G92" s="276"/>
      <c r="H92" s="298"/>
      <c r="I92" s="261"/>
      <c r="J92" s="261"/>
      <c r="K92" s="261"/>
      <c r="L92" s="261"/>
      <c r="M92" s="261"/>
      <c r="N92" s="261"/>
    </row>
    <row r="93" spans="1:14">
      <c r="A93" s="300" t="str">
        <f>'ZAMÓWIENIE | WYCENA'!B91</f>
        <v>Pas startowy wentylacyjny zaginany do panelu dachowego na rąbek 200cm STAL</v>
      </c>
      <c r="B93" s="556" t="str">
        <f>'ZAMÓWIENIE | WYCENA'!C91</f>
        <v>1110-000-_-PSZ200</v>
      </c>
      <c r="C93" s="276">
        <v>1.9</v>
      </c>
      <c r="D93" s="297">
        <f>IF(AND(Wymiar_B2=0,TYP_DACHU=TYP_BEZOKAPOWY),1,0)</f>
        <v>0</v>
      </c>
      <c r="E93" s="276"/>
      <c r="F93" s="276"/>
      <c r="G93" s="276"/>
      <c r="H93" s="298">
        <f>ROUNDUP((Wymiar_A*IL_POŁACI)/C93,0)*D93</f>
        <v>0</v>
      </c>
      <c r="I93" s="261"/>
      <c r="J93" s="261"/>
      <c r="K93" s="261"/>
      <c r="L93" s="261"/>
      <c r="M93" s="261"/>
      <c r="N93" s="261"/>
    </row>
    <row r="94" spans="1:14">
      <c r="A94" s="300" t="str">
        <f>'ZAMÓWIENIE | WYCENA'!B92</f>
        <v>Pas skroplinowy zaginany 200cm STAL</v>
      </c>
      <c r="B94" s="556" t="str">
        <f>'ZAMÓWIENIE | WYCENA'!C92</f>
        <v>1110-000-_-PAZ200</v>
      </c>
      <c r="C94" s="276">
        <v>1.9</v>
      </c>
      <c r="D94" s="297">
        <f>IF(AND(Wymiar_B2=0,TYP_DACHU=TYP_BEZOKAPOWY),1,0)</f>
        <v>0</v>
      </c>
      <c r="E94" s="276"/>
      <c r="F94" s="276"/>
      <c r="G94" s="276"/>
      <c r="H94" s="298">
        <f>ROUNDUP((Wymiar_A*IL_POŁACI)/C94,0)*D94</f>
        <v>0</v>
      </c>
      <c r="I94" s="261"/>
      <c r="J94" s="261"/>
      <c r="K94" s="261"/>
      <c r="L94" s="261"/>
      <c r="M94" s="261"/>
      <c r="N94" s="261"/>
    </row>
    <row r="95" spans="1:14">
      <c r="A95" s="300" t="str">
        <f>'ZAMÓWIENIE | WYCENA'!B93</f>
        <v>Profil zamknięty podcięty 100x50mm [Aluminium] - jedn. sprzedaży mb</v>
      </c>
      <c r="B95" s="556" t="str">
        <f>'ZAMÓWIENIE | WYCENA'!C93</f>
        <v>1113-100-000X-PAP000</v>
      </c>
      <c r="C95" s="276">
        <v>0.09</v>
      </c>
      <c r="D95" s="297">
        <f>IF(AND(Wymiar_B2=0,TYP_DACHU=TYP_BEZOKAPOWY),1,0)</f>
        <v>0</v>
      </c>
      <c r="E95" s="276">
        <f>(Wymiar_B1-C95)</f>
        <v>-0.09</v>
      </c>
      <c r="F95" s="276">
        <f>(ROUNDUP(Wymiar_A/0.9,0)*IL_POŁACI+2*IL_POŁACI)*D95</f>
        <v>0</v>
      </c>
      <c r="G95" s="276"/>
      <c r="H95" s="298">
        <f>ROUND(F95*E95,3)</f>
        <v>0</v>
      </c>
      <c r="I95" s="261"/>
      <c r="J95" s="261"/>
      <c r="K95" s="261"/>
      <c r="L95" s="261"/>
      <c r="M95" s="261"/>
      <c r="N95" s="261"/>
    </row>
    <row r="96" spans="1:14" ht="4.9000000000000004" customHeight="1">
      <c r="A96" s="296"/>
      <c r="B96" s="296"/>
      <c r="C96" s="276"/>
      <c r="D96" s="297"/>
      <c r="E96" s="276"/>
      <c r="F96" s="276"/>
      <c r="G96" s="276"/>
      <c r="H96" s="298"/>
      <c r="I96" s="261"/>
      <c r="J96" s="261"/>
      <c r="K96" s="261"/>
      <c r="L96" s="261"/>
      <c r="M96" s="261"/>
      <c r="N96" s="261"/>
    </row>
    <row r="97" spans="1:14" ht="13.15" customHeight="1">
      <c r="A97" s="300" t="str">
        <f>'ZAMÓWIENIE | WYCENA'!B96</f>
        <v>Listwa typu J do łączenia panelu dachowego z elewacyjnym 200cm STAL</v>
      </c>
      <c r="B97" s="556" t="str">
        <f>'ZAMÓWIENIE | WYCENA'!C96</f>
        <v>1110-000-_-LJE200</v>
      </c>
      <c r="C97" s="276">
        <v>2</v>
      </c>
      <c r="D97" s="297">
        <f>IF(AND(TYP_DACHU=TYP_BEZOKAPOWY,Wymiar_B2&gt;0),1,0)</f>
        <v>0</v>
      </c>
      <c r="E97" s="276"/>
      <c r="F97" s="276"/>
      <c r="G97" s="276"/>
      <c r="H97" s="298">
        <f>ROUNDUP((Wymiar_A)/C97,0)*D97</f>
        <v>0</v>
      </c>
      <c r="I97" s="261"/>
      <c r="J97" s="261"/>
      <c r="K97" s="261"/>
      <c r="L97" s="261"/>
      <c r="M97" s="261"/>
      <c r="N97" s="261"/>
    </row>
    <row r="98" spans="1:14" ht="13.15" customHeight="1">
      <c r="A98" s="300" t="str">
        <f>'ZAMÓWIENIE | WYCENA'!B97</f>
        <v>Pas startowy wentylacyjny do łączenia panelu dachowego z elewacyjnym 200cm STAL</v>
      </c>
      <c r="B98" s="556" t="str">
        <f>'ZAMÓWIENIE | WYCENA'!C97</f>
        <v>1110-000-_-PDE200</v>
      </c>
      <c r="C98" s="276">
        <v>2</v>
      </c>
      <c r="D98" s="297">
        <f>IF(AND(TYP_DACHU=TYP_BEZOKAPOWY,Wymiar_B2&gt;0),1,0)</f>
        <v>0</v>
      </c>
      <c r="E98" s="276"/>
      <c r="F98" s="276"/>
      <c r="G98" s="276"/>
      <c r="H98" s="298">
        <f>ROUNDUP((Wymiar_A)/C98,0)*D98</f>
        <v>0</v>
      </c>
      <c r="I98" s="261"/>
      <c r="J98" s="261"/>
      <c r="K98" s="261"/>
      <c r="L98" s="261"/>
      <c r="M98" s="261"/>
      <c r="N98" s="261"/>
    </row>
    <row r="99" spans="1:14" ht="13.15" customHeight="1">
      <c r="A99" s="300" t="str">
        <f>'ZAMÓWIENIE | WYCENA'!B98</f>
        <v>Profil zamknięty 100x50mm [Aluminium] - jedn. sprzedaży mb</v>
      </c>
      <c r="B99" s="556" t="str">
        <f>'ZAMÓWIENIE | WYCENA'!C98</f>
        <v>1113-100-000X-PAZ000</v>
      </c>
      <c r="C99" s="276">
        <v>0.09</v>
      </c>
      <c r="D99" s="297">
        <f>IF(AND(Wymiar_B2&gt;0,TYP_DACHU=TYP_BEZOKAPOWY),1,0)</f>
        <v>0</v>
      </c>
      <c r="E99" s="276">
        <f>(Wymiar_B1-C99)</f>
        <v>-0.09</v>
      </c>
      <c r="F99" s="276">
        <f>(ROUNDUP(Wymiar_A/0.9,0)*IL_POŁACI+2*IL_POŁACI)*D99</f>
        <v>0</v>
      </c>
      <c r="G99" s="276"/>
      <c r="H99" s="298">
        <f>ROUND(F99*E99,3)</f>
        <v>0</v>
      </c>
      <c r="I99" s="261"/>
      <c r="J99" s="261"/>
      <c r="K99" s="261"/>
      <c r="L99" s="261"/>
      <c r="M99" s="261"/>
      <c r="N99" s="261"/>
    </row>
    <row r="100" spans="1:14" ht="5.45" customHeight="1">
      <c r="A100" s="300"/>
      <c r="B100" s="300"/>
      <c r="C100" s="276"/>
      <c r="D100" s="297"/>
      <c r="E100" s="276"/>
      <c r="F100" s="276"/>
      <c r="G100" s="276"/>
      <c r="H100" s="298"/>
      <c r="I100" s="261"/>
      <c r="J100" s="261"/>
      <c r="K100" s="261"/>
      <c r="L100" s="261"/>
      <c r="M100" s="261"/>
      <c r="N100" s="261"/>
    </row>
    <row r="101" spans="1:14" ht="13.15" customHeight="1">
      <c r="A101" s="300" t="str">
        <f>'ZAMÓWIENIE | WYCENA'!B82</f>
        <v>Membrana PVC Protan SE rolka 20m/1m/1,2mm - ciemnoszary</v>
      </c>
      <c r="B101" s="556" t="str">
        <f>'ZAMÓWIENIE | WYCENA'!C82</f>
        <v>1110-100-716S-MPV020</v>
      </c>
      <c r="C101" s="276">
        <v>20</v>
      </c>
      <c r="D101" s="297">
        <f>IF(TYP_DACHU=TYP_BEZOKAPOWY,1,0)</f>
        <v>0</v>
      </c>
      <c r="E101" s="276">
        <f>(Wymiar_A+0.2)*IL_POŁACI</f>
        <v>0.4</v>
      </c>
      <c r="F101" s="276"/>
      <c r="G101" s="276"/>
      <c r="H101" s="298">
        <f>ROUNDUP(E101/C101,0)*D101</f>
        <v>0</v>
      </c>
      <c r="I101" s="261"/>
      <c r="J101" s="261"/>
      <c r="K101" s="261"/>
      <c r="L101" s="261"/>
      <c r="M101" s="261"/>
      <c r="N101" s="261"/>
    </row>
    <row r="102" spans="1:14" ht="13.15" customHeight="1">
      <c r="A102" s="300" t="str">
        <f>'ZAMÓWIENIE | WYCENA'!B84</f>
        <v>Wkręt ocynkowany samowiercący do połączenia drewno-aluminium [Stal] 4,8x45mm (op. 250szt.)</v>
      </c>
      <c r="B102" s="556" t="str">
        <f>'ZAMÓWIENIE | WYCENA'!C84</f>
        <v>1110-045-000X-WOD250</v>
      </c>
      <c r="C102" s="276">
        <v>250</v>
      </c>
      <c r="D102" s="297">
        <f>IF(TYP_DACHU=TYP_BEZOKAPOWY,1,0)</f>
        <v>0</v>
      </c>
      <c r="E102" s="276" t="s">
        <v>643</v>
      </c>
      <c r="F102" s="276">
        <f>((Wymiar_A*1.66*5*IL_POŁACI)+(Wymiar_A*0.83*Wymiar_B2*2*IL_POŁACI)+(Wymiar_B2*1.66*IL_POŁACI))</f>
        <v>0</v>
      </c>
      <c r="G102" s="276"/>
      <c r="H102" s="298">
        <f>ROUNDUP(F102/C102,0)*D102</f>
        <v>0</v>
      </c>
      <c r="I102" s="261"/>
      <c r="J102" s="261"/>
      <c r="K102" s="261"/>
      <c r="L102" s="261"/>
      <c r="M102" s="261"/>
      <c r="N102" s="261"/>
    </row>
    <row r="103" spans="1:14" ht="13.15" customHeight="1">
      <c r="A103" s="300" t="str">
        <f>'ZAMÓWIENIE | WYCENA'!B85</f>
        <v>Wkręt ocynkowany do połączenia aluminium-drewno 8x50mm (op. 250szt.)</v>
      </c>
      <c r="B103" s="556" t="str">
        <f>'ZAMÓWIENIE | WYCENA'!C85</f>
        <v>1110-050-000X-WOD250</v>
      </c>
      <c r="C103" s="276">
        <v>250</v>
      </c>
      <c r="D103" s="297"/>
      <c r="E103" s="276"/>
      <c r="F103" s="276">
        <f>F95+F99+H109</f>
        <v>0</v>
      </c>
      <c r="G103" s="276"/>
      <c r="H103" s="298">
        <f>ROUNDUP(F103/C103,0)</f>
        <v>0</v>
      </c>
      <c r="I103" s="261"/>
      <c r="J103" s="261"/>
      <c r="K103" s="261"/>
      <c r="L103" s="261"/>
      <c r="M103" s="261"/>
      <c r="N103" s="261"/>
    </row>
    <row r="104" spans="1:14" ht="13.15" customHeight="1">
      <c r="A104" s="300" t="str">
        <f>'ZAMÓWIENIE | WYCENA'!B86</f>
        <v>Podkładka ocynkowana do wkrętu 8x50 mm (op. 100 szt.)</v>
      </c>
      <c r="B104" s="556" t="str">
        <f>'ZAMÓWIENIE | WYCENA'!C86</f>
        <v>1110-050-000X-WOP100</v>
      </c>
      <c r="C104" s="276">
        <v>100</v>
      </c>
      <c r="D104" s="297"/>
      <c r="E104" s="276"/>
      <c r="F104" s="276">
        <f>F103</f>
        <v>0</v>
      </c>
      <c r="G104" s="276"/>
      <c r="H104" s="298">
        <f>ROUNDUP(F104/C104,0)</f>
        <v>0</v>
      </c>
      <c r="I104" s="261"/>
      <c r="J104" s="261"/>
      <c r="K104" s="261"/>
      <c r="L104" s="261"/>
      <c r="M104" s="261"/>
      <c r="N104" s="261"/>
    </row>
    <row r="105" spans="1:14" ht="13.15" customHeight="1">
      <c r="A105" s="300" t="str">
        <f>'ZAMÓWIENIE | WYCENA'!B87</f>
        <v>Przedłużka magnetyczna do bitów 100 mm</v>
      </c>
      <c r="B105" s="556" t="str">
        <f>'ZAMÓWIENIE | WYCENA'!C87</f>
        <v>1110-000-000X-PMB100</v>
      </c>
      <c r="C105" s="276"/>
      <c r="D105" s="297"/>
      <c r="E105" s="276"/>
      <c r="F105" s="276"/>
      <c r="G105" s="276"/>
      <c r="H105" s="298">
        <v>0</v>
      </c>
      <c r="I105" s="569" t="s">
        <v>655</v>
      </c>
      <c r="J105" s="261"/>
      <c r="K105" s="261"/>
      <c r="L105" s="261"/>
      <c r="M105" s="261"/>
      <c r="N105" s="261"/>
    </row>
    <row r="106" spans="1:14" ht="13.15" customHeight="1">
      <c r="A106" s="300" t="str">
        <f>'ZAMÓWIENIE | WYCENA'!B88</f>
        <v>Końcówka magnetyczna M13 50mm</v>
      </c>
      <c r="B106" s="556" t="str">
        <f>'ZAMÓWIENIE | WYCENA'!C88</f>
        <v>1110-013-000X-KMG050</v>
      </c>
      <c r="C106" s="276"/>
      <c r="D106" s="297"/>
      <c r="E106" s="276"/>
      <c r="F106" s="276"/>
      <c r="G106" s="276"/>
      <c r="H106" s="298">
        <v>0</v>
      </c>
      <c r="I106" s="261"/>
      <c r="J106" s="261"/>
      <c r="K106" s="261"/>
      <c r="L106" s="261"/>
      <c r="M106" s="261"/>
      <c r="N106" s="261"/>
    </row>
    <row r="107" spans="1:14" ht="13.15" customHeight="1">
      <c r="A107" s="300" t="str">
        <f>'ZAMÓWIENIE | WYCENA'!B89</f>
        <v>Wiertło kobaltowe 4mm</v>
      </c>
      <c r="B107" s="556" t="str">
        <f>'ZAMÓWIENIE | WYCENA'!C89</f>
        <v>1110-004-000X-WKO000</v>
      </c>
      <c r="C107" s="276"/>
      <c r="D107" s="297"/>
      <c r="E107" s="276"/>
      <c r="F107" s="276"/>
      <c r="G107" s="276"/>
      <c r="H107" s="298">
        <v>0</v>
      </c>
      <c r="I107" s="261"/>
      <c r="J107" s="261"/>
      <c r="K107" s="261"/>
      <c r="L107" s="261"/>
      <c r="M107" s="261"/>
      <c r="N107" s="261"/>
    </row>
    <row r="108" spans="1:14" ht="5.45" customHeight="1">
      <c r="A108" s="300"/>
      <c r="B108" s="300"/>
      <c r="C108" s="276"/>
      <c r="D108" s="297"/>
      <c r="E108" s="276"/>
      <c r="F108" s="276"/>
      <c r="G108" s="276"/>
      <c r="H108" s="298"/>
      <c r="I108" s="261"/>
      <c r="J108" s="261"/>
      <c r="K108" s="261"/>
      <c r="L108" s="261"/>
      <c r="M108" s="261"/>
      <c r="N108" s="261"/>
    </row>
    <row r="109" spans="1:14" ht="13.15" customHeight="1">
      <c r="A109" s="300" t="str">
        <f>'ZAMÓWIENIE | WYCENA'!B101</f>
        <v xml:space="preserve">Konsola elewacyjna 200mm [Aluminium] </v>
      </c>
      <c r="B109" s="556" t="str">
        <f>'ZAMÓWIENIE | WYCENA'!C101</f>
        <v>1113-000-000X-KAE200</v>
      </c>
      <c r="C109" s="303">
        <v>0.65</v>
      </c>
      <c r="D109" s="297">
        <f>SZAC_PODKONSTR_ELEW</f>
        <v>0</v>
      </c>
      <c r="E109" s="276"/>
      <c r="F109" s="276">
        <v>1.2</v>
      </c>
      <c r="G109" s="276">
        <f>(H110+H111)*2</f>
        <v>0</v>
      </c>
      <c r="H109" s="298">
        <f>(H110*3+H111*2)*D109</f>
        <v>0</v>
      </c>
      <c r="I109" s="261"/>
      <c r="J109" s="261"/>
      <c r="K109" s="261"/>
      <c r="L109" s="261"/>
      <c r="M109" s="261"/>
      <c r="N109" s="261"/>
    </row>
    <row r="110" spans="1:14" ht="13.15" customHeight="1">
      <c r="A110" s="300" t="str">
        <f>'ZAMÓWIENIE | WYCENA'!B102</f>
        <v xml:space="preserve">Kątownik do podkonstrukcji elewacyjnej 50x50mm 200cm [Aluminium] </v>
      </c>
      <c r="B110" s="556" t="str">
        <f>'ZAMÓWIENIE | WYCENA'!C102</f>
        <v>1113-050-000X-PAK200</v>
      </c>
      <c r="C110" s="302">
        <v>2.0009999999999999</v>
      </c>
      <c r="D110" s="297">
        <f>IF(Wymiar_B2&gt;1,1,0)*SZAC_PODKONSTR_ELEW</f>
        <v>0</v>
      </c>
      <c r="E110" s="276">
        <f>ROUNDUP(Wymiar_A/0.6,0)*IL_POŁACI</f>
        <v>0</v>
      </c>
      <c r="F110" s="276">
        <f>ROUND(Wymiar_B2/C110,0)</f>
        <v>0</v>
      </c>
      <c r="G110" s="276"/>
      <c r="H110" s="298">
        <f>((D110*F110*E110)+(D110*F110*IL_POŁACI))*D110</f>
        <v>0</v>
      </c>
      <c r="I110" s="261"/>
      <c r="J110" s="261"/>
      <c r="K110" s="261"/>
      <c r="L110" s="261"/>
      <c r="M110" s="261"/>
      <c r="N110" s="261"/>
    </row>
    <row r="111" spans="1:14" ht="13.15" customHeight="1">
      <c r="A111" s="300" t="str">
        <f>'ZAMÓWIENIE | WYCENA'!B103</f>
        <v xml:space="preserve">Kątownik do podkonstrukcji elewacyjnej 50x50mm 100cm [Aluminium] </v>
      </c>
      <c r="B111" s="556" t="str">
        <f>'ZAMÓWIENIE | WYCENA'!C103</f>
        <v>1113-050-000X-PAK100</v>
      </c>
      <c r="C111" s="276">
        <v>1</v>
      </c>
      <c r="D111" s="297">
        <f>IF(Wymiar_B2&gt;0,1,0)*IF((Wymiar_B2-F110*C110*D110)&lt;0,0,1)*SZAC_PODKONSTR_ELEW</f>
        <v>0</v>
      </c>
      <c r="E111" s="276">
        <f>E110</f>
        <v>0</v>
      </c>
      <c r="F111" s="276">
        <f>ROUNDUP(Wymiar_B2-F110*C110*D110,0)/C111</f>
        <v>0</v>
      </c>
      <c r="G111" s="276"/>
      <c r="H111" s="298">
        <f>((D111*F111*E111)+(1*F111*IL_POŁACI))*D111</f>
        <v>0</v>
      </c>
      <c r="I111" s="261"/>
      <c r="J111" s="261"/>
      <c r="K111" s="261"/>
      <c r="L111" s="261"/>
      <c r="M111" s="261"/>
      <c r="N111" s="261"/>
    </row>
    <row r="112" spans="1:14" ht="13.15" customHeight="1">
      <c r="A112" s="300" t="str">
        <f>'ZAMÓWIENIE | WYCENA'!B104</f>
        <v>Wkręty nierdzewne konsola-kątownik 5,5x20mm (op. 500szt.)</v>
      </c>
      <c r="B112" s="556" t="str">
        <f>'ZAMÓWIENIE | WYCENA'!C104</f>
        <v>1110-020-000X-WNK500</v>
      </c>
      <c r="C112" s="276">
        <v>500</v>
      </c>
      <c r="D112" s="297">
        <f>SZAC_PODKONSTR_ELEW</f>
        <v>0</v>
      </c>
      <c r="E112" s="276" t="s">
        <v>643</v>
      </c>
      <c r="F112" s="276"/>
      <c r="G112" s="276">
        <f>H109*2</f>
        <v>0</v>
      </c>
      <c r="H112" s="298">
        <f>ROUNDUP(G112/C112,0)*D112</f>
        <v>0</v>
      </c>
      <c r="I112" s="261"/>
      <c r="J112" s="261"/>
      <c r="K112" s="261"/>
      <c r="L112" s="261"/>
      <c r="M112" s="261"/>
      <c r="N112" s="261"/>
    </row>
    <row r="113" spans="1:14" ht="4.9000000000000004" customHeight="1">
      <c r="A113" s="296"/>
      <c r="B113" s="296"/>
      <c r="C113" s="276"/>
      <c r="D113" s="297"/>
      <c r="E113" s="276"/>
      <c r="F113" s="276"/>
      <c r="G113" s="276"/>
      <c r="H113" s="298"/>
      <c r="I113" s="261"/>
      <c r="J113" s="261"/>
      <c r="K113" s="261"/>
      <c r="L113" s="261"/>
      <c r="M113" s="261"/>
      <c r="N113" s="261"/>
    </row>
    <row r="114" spans="1:14">
      <c r="A114" s="296" t="str">
        <f>'ZAMÓWIENIE | WYCENA'!B107</f>
        <v xml:space="preserve">Profil zamknięty aluminiowy 2mb 50x25mm
UWAGA! do montażu z panelem na rąbek </v>
      </c>
      <c r="B114" s="553" t="str">
        <f>'ZAMÓWIENIE | WYCENA'!C107</f>
        <v>1113-050-000X-PAZ200</v>
      </c>
      <c r="C114" s="276">
        <v>2</v>
      </c>
      <c r="D114" s="297">
        <v>1.02</v>
      </c>
      <c r="E114" s="276"/>
      <c r="F114" s="276"/>
      <c r="G114" s="276"/>
      <c r="H114" s="298">
        <f>ROUNDUP((Wymiar_A*D114*IL_POŁACI)/C114,0)</f>
        <v>0</v>
      </c>
      <c r="I114" s="261"/>
      <c r="J114" s="261"/>
      <c r="K114" s="261"/>
      <c r="L114" s="261"/>
      <c r="M114" s="261"/>
      <c r="N114" s="261"/>
    </row>
    <row r="115" spans="1:14">
      <c r="A115" s="296" t="str">
        <f>'ZAMÓWIENIE | WYCENA'!B108</f>
        <v xml:space="preserve">Profil zamknięty aluminiowy 2mb 50x40mm
UWAGA! do montażu z dachówką </v>
      </c>
      <c r="B115" s="553" t="str">
        <f>'ZAMÓWIENIE | WYCENA'!C108</f>
        <v>1113-050-000X-PAD200</v>
      </c>
      <c r="C115" s="276"/>
      <c r="D115" s="297"/>
      <c r="E115" s="276"/>
      <c r="F115" s="276"/>
      <c r="G115" s="276"/>
      <c r="H115" s="298">
        <v>0</v>
      </c>
      <c r="I115" s="261"/>
      <c r="J115" s="261"/>
      <c r="K115" s="261"/>
      <c r="L115" s="261"/>
      <c r="M115" s="261"/>
      <c r="N115" s="261"/>
    </row>
    <row r="116" spans="1:14">
      <c r="A116" s="296" t="s">
        <v>783</v>
      </c>
      <c r="B116" s="553" t="str">
        <f>'ZAMÓWIENIE | WYCENA'!C109</f>
        <v>1110-050-000X-WOA300</v>
      </c>
      <c r="C116" s="276">
        <v>300</v>
      </c>
      <c r="D116" s="297"/>
      <c r="E116" s="276">
        <v>0.7</v>
      </c>
      <c r="F116" s="276"/>
      <c r="G116" s="276"/>
      <c r="H116" s="298">
        <f>ROUNDUP((ROUNDUP(Wymiar_A/E116,0)*IL_POŁACI+2*IL_POŁACI)/300,0)</f>
        <v>1</v>
      </c>
      <c r="I116" s="261" t="s">
        <v>782</v>
      </c>
      <c r="J116" s="261"/>
      <c r="K116" s="261"/>
      <c r="L116" s="261"/>
      <c r="M116" s="261"/>
      <c r="N116" s="261"/>
    </row>
    <row r="117" spans="1:14">
      <c r="A117" s="296"/>
      <c r="B117" s="296"/>
      <c r="C117" s="276"/>
      <c r="D117" s="297"/>
      <c r="E117" s="276"/>
      <c r="F117" s="276"/>
      <c r="G117" s="276"/>
      <c r="H117" s="298"/>
      <c r="I117" s="261"/>
      <c r="J117" s="261"/>
      <c r="K117" s="261"/>
      <c r="L117" s="261"/>
      <c r="M117" s="261"/>
      <c r="N117" s="261"/>
    </row>
    <row r="118" spans="1:14">
      <c r="A118" s="296" t="str">
        <f>'ZAMÓWIENIE | WYCENA'!B113</f>
        <v>Rura 4mb PVC</v>
      </c>
      <c r="B118" s="553" t="str">
        <f>'ZAMÓWIENIE | WYCENA'!C113</f>
        <v>1022-080-_-RUR400</v>
      </c>
      <c r="C118" s="276">
        <v>4</v>
      </c>
      <c r="D118" s="297"/>
      <c r="E118" s="276"/>
      <c r="F118" s="276"/>
      <c r="G118" s="276"/>
      <c r="H118" s="298">
        <f>ROUNDUP(IL_PIONÓW_SPUSTOWYCH*Wymiar_C/C118*IL_POŁACI,0)</f>
        <v>0</v>
      </c>
      <c r="I118" s="261"/>
      <c r="J118" s="261"/>
      <c r="K118" s="261"/>
      <c r="L118" s="261"/>
      <c r="M118" s="261"/>
      <c r="N118" s="261"/>
    </row>
    <row r="119" spans="1:14">
      <c r="A119" s="296" t="str">
        <f>'ZAMÓWIENIE | WYCENA'!B114</f>
        <v>Mufa z uszczelką i klejem cyjanoakrylowym PVC</v>
      </c>
      <c r="B119" s="553" t="str">
        <f>'ZAMÓWIENIE | WYCENA'!C114</f>
        <v>1062-080-_-MUF000</v>
      </c>
      <c r="C119" s="276"/>
      <c r="D119" s="297"/>
      <c r="E119" s="276"/>
      <c r="F119" s="276"/>
      <c r="G119" s="276"/>
      <c r="H119" s="298">
        <f>IL_PIONÓW_SPUSTOWYCH*IL_POŁACI+ROUNDDOWN(Wymiar_C/C118,0)*IL_PIONÓW_SPUSTOWYCH*IL_POŁACI</f>
        <v>0</v>
      </c>
    </row>
    <row r="120" spans="1:14">
      <c r="A120" s="296" t="str">
        <f>'ZAMÓWIENIE | WYCENA'!B115</f>
        <v>Kolano 67° PVC</v>
      </c>
      <c r="B120" s="553" t="str">
        <f>'ZAMÓWIENIE | WYCENA'!C115</f>
        <v>1022-080-_-KOL067</v>
      </c>
      <c r="C120" s="276"/>
      <c r="D120" s="297"/>
      <c r="E120" s="276"/>
      <c r="F120" s="276"/>
      <c r="G120" s="276"/>
      <c r="H120" s="298">
        <v>0</v>
      </c>
    </row>
    <row r="121" spans="1:14">
      <c r="A121" s="296" t="str">
        <f>'ZAMÓWIENIE | WYCENA'!B116</f>
        <v>Kolano elastyczne [HDPE] z uszczelką  80x70mm</v>
      </c>
      <c r="B121" s="553" t="str">
        <f>'ZAMÓWIENIE | WYCENA'!C116</f>
        <v>1062-080-_-KEL000</v>
      </c>
      <c r="C121" s="276"/>
      <c r="D121" s="297"/>
      <c r="E121" s="276"/>
      <c r="F121" s="276"/>
      <c r="G121" s="276"/>
      <c r="H121" s="298">
        <f>IL_PIONÓW_SPUSTOWYCH*IL_POŁACI</f>
        <v>0</v>
      </c>
    </row>
    <row r="122" spans="1:14">
      <c r="A122" s="296" t="str">
        <f>'ZAMÓWIENIE | WYCENA'!B117</f>
        <v>Kolano boczne nietypowe PVC**</v>
      </c>
      <c r="B122" s="553" t="str">
        <f>'ZAMÓWIENIE | WYCENA'!C117</f>
        <v>1062-080-_-KOBXXX</v>
      </c>
      <c r="C122" s="276"/>
      <c r="D122" s="297"/>
      <c r="E122" s="276"/>
      <c r="F122" s="276"/>
      <c r="G122" s="276"/>
      <c r="H122" s="298">
        <v>0</v>
      </c>
    </row>
    <row r="123" spans="1:14">
      <c r="A123" s="296" t="str">
        <f>'ZAMÓWIENIE | WYCENA'!B118</f>
        <v>Obejma metalowa do dybla STAL</v>
      </c>
      <c r="B123" s="553" t="str">
        <f>'ZAMÓWIENIE | WYCENA'!C118</f>
        <v>1022-080-_-OBS000</v>
      </c>
      <c r="C123" s="276"/>
      <c r="D123" s="297"/>
      <c r="E123" s="276">
        <v>1.33</v>
      </c>
      <c r="F123" s="276">
        <f>ROUNDDOWN(Wymiar_C/4,0)</f>
        <v>0</v>
      </c>
      <c r="G123" s="276">
        <f>Wymiar_C-4*F123</f>
        <v>0</v>
      </c>
      <c r="H123" s="276">
        <f>(F123*3+IF(G123&gt;0,MAX(2,ROUNDUP(G123/1.1,0))))*IL_PIONÓW_SPUSTOWYCH*IL_POŁACI</f>
        <v>0</v>
      </c>
    </row>
    <row r="124" spans="1:14">
      <c r="A124" s="296"/>
      <c r="B124" s="296"/>
      <c r="C124" s="276"/>
      <c r="D124" s="297"/>
      <c r="E124" s="276"/>
      <c r="F124" s="276"/>
      <c r="G124" s="276"/>
      <c r="H124" s="298"/>
    </row>
    <row r="125" spans="1:14">
      <c r="A125" s="296" t="str">
        <f>'ZAMÓWIENIE | WYCENA'!B122</f>
        <v>Uszczelka butylowa dwustronna 7mb 20x3mm (czerń)</v>
      </c>
      <c r="B125" s="553" t="str">
        <f>'ZAMÓWIENIE | WYCENA'!C122</f>
        <v>1110-020-000X-USB700</v>
      </c>
      <c r="C125" s="276">
        <v>7</v>
      </c>
      <c r="D125" s="297">
        <v>1.02</v>
      </c>
      <c r="E125" s="276"/>
      <c r="F125" s="276"/>
      <c r="G125" s="276"/>
      <c r="H125" s="298">
        <f>ROUNDUP(Wymiar_A*IL_POŁACI*D125/C125,0)</f>
        <v>0</v>
      </c>
    </row>
    <row r="126" spans="1:14">
      <c r="A126" s="296" t="str">
        <f>'ZAMÓWIENIE | WYCENA'!B123</f>
        <v>Kołnierz uszczelniający przejście przez membranę (czerń)</v>
      </c>
      <c r="B126" s="553" t="str">
        <f>'ZAMÓWIENIE | WYCENA'!C123</f>
        <v>1110-000-905S-MKU000</v>
      </c>
      <c r="C126" s="276"/>
      <c r="D126" s="297"/>
      <c r="E126" s="276"/>
      <c r="F126" s="276"/>
      <c r="G126" s="276"/>
      <c r="H126" s="298">
        <f>IL_PIONÓW_SPUSTOWYCH*IL_POŁACI</f>
        <v>0</v>
      </c>
    </row>
    <row r="127" spans="1:14">
      <c r="A127" s="296" t="str">
        <f>'ZAMÓWIENIE | WYCENA'!B124</f>
        <v>Obudowa termoizolacyjna do rury spustowej 1,2mb</v>
      </c>
      <c r="B127" s="553" t="str">
        <f>'ZAMÓWIENIE | WYCENA'!C124</f>
        <v>1062-080-000X-RUT120</v>
      </c>
      <c r="C127" s="276">
        <v>1.2</v>
      </c>
      <c r="D127" s="297"/>
      <c r="E127" s="276"/>
      <c r="F127" s="276"/>
      <c r="G127" s="276"/>
      <c r="H127" s="298">
        <f>ROUNDUP(Wymiar_C/C127*IL_PIONÓW_SPUSTOWYCH*IL_POŁACI,0)</f>
        <v>0</v>
      </c>
    </row>
    <row r="128" spans="1:14">
      <c r="A128" s="296" t="str">
        <f>'ZAMÓWIENIE | WYCENA'!B125</f>
        <v>Studzienka 300x300x300 mm (z pokrywą/rusztem, separatorami, koszyczkiem) PP (czerń)</v>
      </c>
      <c r="B128" s="553" t="str">
        <f>'ZAMÓWIENIE | WYCENA'!C125</f>
        <v>1003-300-905S-SSU300</v>
      </c>
      <c r="C128" s="276"/>
      <c r="D128" s="297"/>
      <c r="E128" s="276"/>
      <c r="F128" s="276"/>
      <c r="G128" s="276"/>
      <c r="H128" s="298">
        <f t="shared" ref="H128:H133" si="0">IL_PIONÓW_SPUSTOWYCH*IL_POŁACI</f>
        <v>0</v>
      </c>
    </row>
    <row r="129" spans="1:9">
      <c r="A129" s="296" t="str">
        <f>'ZAMÓWIENIE | WYCENA'!B126</f>
        <v>Nadbudowa studzienki 300x300x300mm PP (czerń)</v>
      </c>
      <c r="B129" s="553" t="str">
        <f>'ZAMÓWIENIE | WYCENA'!C126</f>
        <v>1003-300-905S-SSN300</v>
      </c>
      <c r="C129" s="276"/>
      <c r="D129" s="297"/>
      <c r="E129" s="276"/>
      <c r="F129" s="276"/>
      <c r="G129" s="276"/>
      <c r="H129" s="298">
        <f t="shared" si="0"/>
        <v>0</v>
      </c>
    </row>
    <row r="130" spans="1:9">
      <c r="A130" s="296" t="str">
        <f>'ZAMÓWIENIE | WYCENA'!B127</f>
        <v>Kolano 110mm 88° PP (jasny popiel)</v>
      </c>
      <c r="B130" s="553" t="str">
        <f>'ZAMÓWIENIE | WYCENA'!C127</f>
        <v>1003-110-738S-KOK088</v>
      </c>
      <c r="C130" s="276"/>
      <c r="D130" s="297"/>
      <c r="E130" s="276"/>
      <c r="F130" s="276"/>
      <c r="G130" s="276"/>
      <c r="H130" s="298">
        <f t="shared" si="0"/>
        <v>0</v>
      </c>
    </row>
    <row r="131" spans="1:9">
      <c r="A131" s="296" t="str">
        <f>'ZAMÓWIENIE | WYCENA'!B128</f>
        <v>Obejma do dybla 110mm (ocynk)</v>
      </c>
      <c r="B131" s="553" t="str">
        <f>'ZAMÓWIENIE | WYCENA'!C128</f>
        <v>1000-110-923S-OBS000</v>
      </c>
      <c r="C131" s="276"/>
      <c r="D131" s="297"/>
      <c r="E131" s="276"/>
      <c r="F131" s="276"/>
      <c r="G131" s="276"/>
      <c r="H131" s="298">
        <f t="shared" si="0"/>
        <v>0</v>
      </c>
    </row>
    <row r="132" spans="1:9">
      <c r="A132" s="296" t="str">
        <f>'ZAMÓWIENIE | WYCENA'!B129</f>
        <v>Rura kanalizacyjna 110mm - 1m</v>
      </c>
      <c r="B132" s="553" t="str">
        <f>'ZAMÓWIENIE | WYCENA'!C129</f>
        <v>1003-110-738S-RUK100</v>
      </c>
      <c r="C132" s="276"/>
      <c r="D132" s="297"/>
      <c r="E132" s="276"/>
      <c r="F132" s="276"/>
      <c r="G132" s="276"/>
      <c r="H132" s="298">
        <f t="shared" si="0"/>
        <v>0</v>
      </c>
    </row>
    <row r="133" spans="1:9">
      <c r="A133" s="296" t="str">
        <f>'ZAMÓWIENIE | WYCENA'!B130</f>
        <v>Redukcja 70x80/110mm PP (jasny popiel)</v>
      </c>
      <c r="B133" s="553" t="str">
        <f>'ZAMÓWIENIE | WYCENA'!C130</f>
        <v>1003-080-738S-RED110</v>
      </c>
      <c r="C133" s="276"/>
      <c r="D133" s="297"/>
      <c r="E133" s="276"/>
      <c r="F133" s="276"/>
      <c r="G133" s="276"/>
      <c r="H133" s="298">
        <f t="shared" si="0"/>
        <v>0</v>
      </c>
    </row>
    <row r="134" spans="1:9">
      <c r="A134" s="296" t="str">
        <f>'ZAMÓWIENIE | WYCENA'!B131</f>
        <v>Kołek dwugwintowy 100mm z długą koszulką</v>
      </c>
      <c r="B134" s="553" t="str">
        <f>'ZAMÓWIENIE | WYCENA'!C131</f>
        <v>1000-000-000X-KDW100</v>
      </c>
      <c r="C134" s="276"/>
      <c r="D134" s="297"/>
      <c r="E134" s="276"/>
      <c r="F134" s="276"/>
      <c r="G134" s="276"/>
      <c r="H134" s="298">
        <v>0</v>
      </c>
    </row>
    <row r="135" spans="1:9">
      <c r="A135" s="296" t="str">
        <f>'ZAMÓWIENIE | WYCENA'!B132</f>
        <v>Kołek dwugwintowy 160mm z długą koszulką</v>
      </c>
      <c r="B135" s="553" t="str">
        <f>'ZAMÓWIENIE | WYCENA'!C132</f>
        <v>1000-000-000X-KDW160</v>
      </c>
      <c r="C135" s="276"/>
      <c r="D135" s="297"/>
      <c r="E135" s="276"/>
      <c r="F135" s="276"/>
      <c r="G135" s="276"/>
      <c r="H135" s="298">
        <v>0</v>
      </c>
    </row>
    <row r="136" spans="1:9">
      <c r="A136" s="296" t="str">
        <f>'ZAMÓWIENIE | WYCENA'!B133</f>
        <v>Kołek dwugwintowy 200mm z długą koszulką</v>
      </c>
      <c r="B136" s="553" t="str">
        <f>'ZAMÓWIENIE | WYCENA'!C133</f>
        <v>1000-000-000X-KDW200</v>
      </c>
      <c r="C136" s="276"/>
      <c r="D136" s="297"/>
      <c r="E136" s="276"/>
      <c r="F136" s="276"/>
      <c r="G136" s="276"/>
      <c r="H136" s="298">
        <v>0</v>
      </c>
    </row>
    <row r="137" spans="1:9">
      <c r="A137" s="296" t="str">
        <f>'ZAMÓWIENIE | WYCENA'!B134</f>
        <v>Kołek dwugwintowy 260mm z długą koszulką</v>
      </c>
      <c r="B137" s="553" t="str">
        <f>'ZAMÓWIENIE | WYCENA'!C134</f>
        <v>1000-000-000X-KDW260</v>
      </c>
      <c r="C137" s="276"/>
      <c r="D137" s="297"/>
      <c r="E137" s="276"/>
      <c r="F137" s="276"/>
      <c r="G137" s="276"/>
      <c r="H137" s="276">
        <f>H123</f>
        <v>0</v>
      </c>
    </row>
    <row r="138" spans="1:9">
      <c r="A138" s="296" t="str">
        <f>'ZAMÓWIENIE | WYCENA'!B135</f>
        <v>Kołek dwugwintowy 300mm z długą koszulką</v>
      </c>
      <c r="B138" s="553" t="str">
        <f>'ZAMÓWIENIE | WYCENA'!C135</f>
        <v>1000-000-000X-KDW300</v>
      </c>
      <c r="C138" s="276"/>
      <c r="D138" s="297"/>
      <c r="E138" s="276"/>
      <c r="F138" s="276"/>
      <c r="G138" s="276"/>
      <c r="H138" s="298">
        <v>0</v>
      </c>
    </row>
    <row r="139" spans="1:9">
      <c r="A139" s="296" t="str">
        <f>'ZAMÓWIENIE | WYCENA'!B136</f>
        <v>Kołek dwugwintowy 360mm z długą koszulką</v>
      </c>
      <c r="B139" s="553" t="str">
        <f>'ZAMÓWIENIE | WYCENA'!C136</f>
        <v>1000-000-000X-KDW360</v>
      </c>
      <c r="C139" s="276"/>
      <c r="D139" s="297"/>
      <c r="E139" s="276"/>
      <c r="F139" s="276"/>
      <c r="G139" s="276"/>
      <c r="H139" s="298">
        <v>0</v>
      </c>
    </row>
    <row r="140" spans="1:9">
      <c r="A140" s="296" t="str">
        <f>'ZAMÓWIENIE | WYCENA'!B137</f>
        <v>Koszyczek do odpływu PP (czerń)</v>
      </c>
      <c r="B140" s="553" t="str">
        <f>'ZAMÓWIENIE | WYCENA'!C137</f>
        <v>1000-000-905S-OKO000</v>
      </c>
      <c r="C140" s="276"/>
      <c r="D140" s="297"/>
      <c r="E140" s="276"/>
      <c r="F140" s="276"/>
      <c r="G140" s="276"/>
      <c r="H140" s="298">
        <f>IL_PIONÓW_SPUSTOWYCH*IL_POŁACI</f>
        <v>0</v>
      </c>
    </row>
    <row r="141" spans="1:9">
      <c r="A141" s="296" t="str">
        <f>'ZAMÓWIENIE | WYCENA'!B138</f>
        <v>Klej agresywny do PVC z pędzelkiem 125 ml</v>
      </c>
      <c r="B141" s="553" t="str">
        <f>'ZAMÓWIENIE | WYCENA'!C138</f>
        <v>1000-000-000X-KJP125</v>
      </c>
      <c r="C141" s="276"/>
      <c r="D141" s="297"/>
      <c r="E141" s="276"/>
      <c r="F141" s="276"/>
      <c r="G141" s="276"/>
      <c r="H141" s="298">
        <f>ROUNDUP((IL_PIONÓW_SPUSTOWYCH*IL_POŁACI)/2,0)</f>
        <v>0</v>
      </c>
      <c r="I141" s="569" t="s">
        <v>762</v>
      </c>
    </row>
    <row r="142" spans="1:9">
      <c r="A142" s="296" t="str">
        <f>'ZAMÓWIENIE | WYCENA'!B139</f>
        <v>Smar do uszczelek w sprayu Soudal 400ml</v>
      </c>
      <c r="B142" s="555" t="str">
        <f>'ZAMÓWIENIE | WYCENA'!C139</f>
        <v>1000-000-000X-SPS400</v>
      </c>
      <c r="C142" s="276"/>
      <c r="D142" s="297"/>
      <c r="E142" s="276"/>
      <c r="F142" s="276"/>
      <c r="G142" s="276"/>
      <c r="H142" s="298">
        <v>1</v>
      </c>
      <c r="I142" s="248"/>
    </row>
    <row r="143" spans="1:9">
      <c r="A143" s="296" t="str">
        <f>'ZAMÓWIENIE | WYCENA'!B140</f>
        <v>Klej uszczelniacz hybrydowy GEKON 310ml***</v>
      </c>
      <c r="B143" s="553" t="str">
        <f>'ZAMÓWIENIE | WYCENA'!C140</f>
        <v>1000-000-_-USC310</v>
      </c>
      <c r="C143" s="276"/>
      <c r="D143" s="297"/>
      <c r="E143" s="276"/>
      <c r="F143" s="276"/>
      <c r="G143" s="276"/>
      <c r="H143" s="298">
        <f>ROUNDUP(1*IL_POŁACI,0)</f>
        <v>2</v>
      </c>
    </row>
    <row r="144" spans="1:9">
      <c r="A144" s="296"/>
      <c r="B144" s="296"/>
      <c r="C144" s="276"/>
      <c r="D144" s="297"/>
      <c r="E144" s="276"/>
      <c r="F144" s="276"/>
      <c r="G144" s="276"/>
      <c r="H144" s="298"/>
    </row>
    <row r="145" spans="1:8">
      <c r="A145" s="296" t="str">
        <f>'ZAMÓWIENIE | WYCENA'!B148</f>
        <v>Rurowy zestaw barier przeciwśniegowych 240cm do panelu na rąbek STAL (4 rury, 5 wsporników, 4 zaślepki, 2 łączniki, 4 blokady, komplet śrub)</v>
      </c>
      <c r="B145" s="553" t="str">
        <f>'ZAMÓWIENIE | WYCENA'!C148</f>
        <v>3000-000-_-ZZR240</v>
      </c>
      <c r="C145" s="276">
        <v>2.4</v>
      </c>
      <c r="D145" s="297"/>
      <c r="E145" s="276"/>
      <c r="F145" s="276"/>
      <c r="G145" s="276"/>
      <c r="H145" s="298">
        <f>ROUNDDOWN(Wymiar_A/C145,0)*IL_POŁACI</f>
        <v>0</v>
      </c>
    </row>
    <row r="146" spans="1:8">
      <c r="A146" s="296" t="str">
        <f>'ZAMÓWIENIE | WYCENA'!B149</f>
        <v>Rurowy zestaw barier przeciwśniegowych 360cm do panelu na rąbek STAL (6 rur, 7 wsporników, 4 zaślepki, 4 łączniki, 4 blokady)</v>
      </c>
      <c r="B146" s="553" t="str">
        <f>'ZAMÓWIENIE | WYCENA'!C149</f>
        <v>3000-000-_-ZZR360</v>
      </c>
      <c r="C146" s="276"/>
      <c r="D146" s="297"/>
      <c r="E146" s="276"/>
      <c r="F146" s="276"/>
      <c r="G146" s="276"/>
      <c r="H146" s="298">
        <v>0</v>
      </c>
    </row>
    <row r="147" spans="1:8">
      <c r="A147" s="296"/>
      <c r="B147" s="296"/>
      <c r="C147" s="276"/>
      <c r="D147" s="297"/>
      <c r="E147" s="276"/>
      <c r="F147" s="276"/>
      <c r="G147" s="276"/>
      <c r="H147" s="298"/>
    </row>
    <row r="148" spans="1:8">
      <c r="A148" s="296" t="str">
        <f>'ZAMÓWIENIE | WYCENA'!B162</f>
        <v>Zestaw komunikacji dachowej 60cm do panelu na rąbek STAL
(1 ława 60cm, 2 wsporniki ławy, komplet śrub montażowych)</v>
      </c>
      <c r="B148" s="553" t="str">
        <f>'ZAMÓWIENIE | WYCENA'!C162</f>
        <v>3000-000-_-KZR060</v>
      </c>
      <c r="C148" s="276"/>
      <c r="D148" s="297"/>
      <c r="E148" s="276"/>
      <c r="F148" s="276"/>
      <c r="G148" s="276"/>
      <c r="H148" s="298">
        <v>0</v>
      </c>
    </row>
    <row r="149" spans="1:8">
      <c r="A149" s="296" t="str">
        <f>'ZAMÓWIENIE | WYCENA'!B163</f>
        <v>Zestaw komunikacji dachowej 120cm do panelu na rąbek STAL
(1 ława 120cm,3 wsporniki ławy, komplet śrub montażowych)</v>
      </c>
      <c r="B149" s="553" t="str">
        <f>'ZAMÓWIENIE | WYCENA'!C163</f>
        <v>3000-000-_-KZR120</v>
      </c>
      <c r="C149" s="276"/>
      <c r="D149" s="297"/>
      <c r="E149" s="276"/>
      <c r="F149" s="276"/>
      <c r="G149" s="276"/>
      <c r="H149" s="298">
        <v>0</v>
      </c>
    </row>
    <row r="150" spans="1:8">
      <c r="A150" s="296"/>
      <c r="B150" s="296"/>
      <c r="C150" s="276"/>
      <c r="D150" s="297"/>
      <c r="E150" s="276"/>
      <c r="F150" s="276"/>
      <c r="G150" s="276"/>
      <c r="H150" s="298"/>
    </row>
    <row r="151" spans="1:8">
      <c r="A151" s="296" t="str">
        <f>'ZAMÓWIENIE | WYCENA'!B176</f>
        <v>Kabel grzejny SelfTec PRO 20  [jedn. sprzedaży mb]</v>
      </c>
      <c r="B151" s="553" t="str">
        <f>'ZAMÓWIENIE | WYCENA'!C176</f>
        <v>1004-000-000X-KGS000</v>
      </c>
      <c r="C151" s="276"/>
      <c r="D151" s="297"/>
      <c r="E151" s="276"/>
      <c r="F151" s="276"/>
      <c r="G151" s="276"/>
      <c r="H151" s="298">
        <f>ROUNDUP((Wymiar_A*IL_POŁACI)*2+(Wymiar_C*IL_PIONÓW_SPUSTOWYCH*IL_POŁACI)*2,0)</f>
        <v>0</v>
      </c>
    </row>
    <row r="152" spans="1:8">
      <c r="A152" s="296" t="str">
        <f>'ZAMÓWIENIE | WYCENA'!B177</f>
        <v>Regulator temperatury ETR2</v>
      </c>
      <c r="B152" s="553" t="str">
        <f>'ZAMÓWIENIE | WYCENA'!C177</f>
        <v>1004-000-000X-KRT000</v>
      </c>
      <c r="C152" s="276"/>
      <c r="D152" s="297"/>
      <c r="E152" s="276"/>
      <c r="F152" s="276"/>
      <c r="G152" s="276"/>
      <c r="H152" s="298">
        <v>1</v>
      </c>
    </row>
    <row r="153" spans="1:8">
      <c r="A153" s="296" t="str">
        <f>'ZAMÓWIENIE | WYCENA'!B178</f>
        <v>Czujnik wilgotności ETOR-55</v>
      </c>
      <c r="B153" s="553" t="str">
        <f>'ZAMÓWIENIE | WYCENA'!C178</f>
        <v>1004-000-000X-KCW000</v>
      </c>
      <c r="C153" s="276"/>
      <c r="D153" s="297"/>
      <c r="E153" s="276"/>
      <c r="F153" s="276"/>
      <c r="G153" s="276"/>
      <c r="H153" s="298">
        <v>1</v>
      </c>
    </row>
    <row r="154" spans="1:8">
      <c r="A154" s="296" t="str">
        <f>'ZAMÓWIENIE | WYCENA'!B179</f>
        <v>Zewnętrzny czujnik temperatury ETF 744</v>
      </c>
      <c r="B154" s="553" t="str">
        <f>'ZAMÓWIENIE | WYCENA'!C179</f>
        <v>1004-000-000X-KCT000</v>
      </c>
      <c r="C154" s="276"/>
      <c r="D154" s="297"/>
      <c r="E154" s="276"/>
      <c r="F154" s="276"/>
      <c r="G154" s="276"/>
      <c r="H154" s="298">
        <v>1</v>
      </c>
    </row>
    <row r="155" spans="1:8">
      <c r="A155" s="296" t="str">
        <f>'ZAMÓWIENIE | WYCENA'!B180</f>
        <v>Zestaw przyłączeniowy EC-PRO</v>
      </c>
      <c r="B155" s="553" t="str">
        <f>'ZAMÓWIENIE | WYCENA'!C180</f>
        <v>1004-000-000X-KPZ000</v>
      </c>
      <c r="C155" s="276"/>
      <c r="D155" s="297"/>
      <c r="E155" s="276"/>
      <c r="F155" s="276"/>
      <c r="G155" s="276"/>
      <c r="H155" s="298">
        <f>1*IL_POŁACI</f>
        <v>2</v>
      </c>
    </row>
    <row r="156" spans="1:8">
      <c r="A156" s="296" t="str">
        <f>'ZAMÓWIENIE | WYCENA'!B181</f>
        <v>Mocowanie kabli do rynien kwadratowych RT-IB-1-P [jedn. sprzedaży mb]</v>
      </c>
      <c r="B156" s="553" t="str">
        <f>'ZAMÓWIENIE | WYCENA'!C181</f>
        <v>1004-000-000X-TRK000</v>
      </c>
      <c r="C156" s="276"/>
      <c r="D156" s="297"/>
      <c r="E156" s="298">
        <v>0.2</v>
      </c>
      <c r="F156" s="276"/>
      <c r="G156" s="276"/>
      <c r="H156" s="298">
        <f>ROUNDUP(Wymiar_A*IL_POŁACI*E156,0)</f>
        <v>0</v>
      </c>
    </row>
    <row r="157" spans="1:8">
      <c r="A157" s="296" t="str">
        <f>'ZAMÓWIENIE | WYCENA'!B182</f>
        <v>Mocowanie kabli do rur spustowych DSC-2 (op. 25szt)</v>
      </c>
      <c r="B157" s="553" t="str">
        <f>'ZAMÓWIENIE | WYCENA'!C182</f>
        <v>1004-000-000X-MRU000</v>
      </c>
      <c r="C157" s="276">
        <v>25</v>
      </c>
      <c r="D157" s="297"/>
      <c r="E157" s="298">
        <v>2.5</v>
      </c>
      <c r="F157" s="384">
        <f>Wymiar_C*IL_POŁACI*IL_PIONÓW_SPUSTOWYCH*E157</f>
        <v>0</v>
      </c>
      <c r="G157" s="276"/>
      <c r="H157" s="298">
        <f>ROUNDUP((Wymiar_C*IL_POŁACI*IL_PIONÓW_SPUSTOWYCH*E157)/C157,0)</f>
        <v>0</v>
      </c>
    </row>
    <row r="158" spans="1:8">
      <c r="A158" s="296" t="str">
        <f>'ZAMÓWIENIE | WYCENA'!B183</f>
        <v xml:space="preserve">Linka podtrzymująca do budynków wielokondygnacyjnych DSW-2 20mb (linka posiada mocowania) </v>
      </c>
      <c r="B158" s="553" t="str">
        <f>'ZAMÓWIENIE | WYCENA'!C183</f>
        <v>1004-000-000X-LIN020</v>
      </c>
      <c r="C158" s="276"/>
      <c r="D158" s="297"/>
      <c r="E158" s="276"/>
      <c r="F158" s="276"/>
      <c r="G158" s="276"/>
      <c r="H158" s="298">
        <v>0</v>
      </c>
    </row>
    <row r="159" spans="1:8">
      <c r="A159" s="296" t="str">
        <f>'ZAMÓWIENIE | WYCENA'!B184</f>
        <v>Wieszak do linki DSW-SB-1</v>
      </c>
      <c r="B159" s="553" t="str">
        <f>'ZAMÓWIENIE | WYCENA'!C184</f>
        <v>1004-000-000X-LIW000</v>
      </c>
      <c r="C159" s="276"/>
      <c r="D159" s="297"/>
      <c r="E159" s="276"/>
      <c r="F159" s="276"/>
      <c r="G159" s="276"/>
      <c r="H159" s="298">
        <f>IL_PIONÓW_SPUSTOWYCH*IL_POŁACI</f>
        <v>0</v>
      </c>
    </row>
  </sheetData>
  <mergeCells count="36">
    <mergeCell ref="A23:A24"/>
    <mergeCell ref="E27:E28"/>
    <mergeCell ref="A25:A26"/>
    <mergeCell ref="D15:E15"/>
    <mergeCell ref="I38:I39"/>
    <mergeCell ref="A29:A30"/>
    <mergeCell ref="A36:A41"/>
    <mergeCell ref="D36:D41"/>
    <mergeCell ref="G38:G39"/>
    <mergeCell ref="G40:G41"/>
    <mergeCell ref="D23:D24"/>
    <mergeCell ref="D25:D26"/>
    <mergeCell ref="D27:D28"/>
    <mergeCell ref="D29:D30"/>
    <mergeCell ref="E23:E24"/>
    <mergeCell ref="E25:E26"/>
    <mergeCell ref="H47:H48"/>
    <mergeCell ref="I47:I48"/>
    <mergeCell ref="J47:J48"/>
    <mergeCell ref="H38:H39"/>
    <mergeCell ref="H40:H41"/>
    <mergeCell ref="J38:J39"/>
    <mergeCell ref="I40:I41"/>
    <mergeCell ref="J40:J41"/>
    <mergeCell ref="H45:H46"/>
    <mergeCell ref="E29:E30"/>
    <mergeCell ref="A27:A28"/>
    <mergeCell ref="I45:I46"/>
    <mergeCell ref="J45:J46"/>
    <mergeCell ref="A31:A32"/>
    <mergeCell ref="A49:A50"/>
    <mergeCell ref="A51:A52"/>
    <mergeCell ref="A43:A48"/>
    <mergeCell ref="D43:D48"/>
    <mergeCell ref="G45:G46"/>
    <mergeCell ref="G47:G48"/>
  </mergeCells>
  <dataValidations disablePrompts="1" count="1">
    <dataValidation type="list" allowBlank="1" showInputMessage="1" showErrorMessage="1" sqref="D15:E15">
      <formula1>"TAK,NIE"</formula1>
    </dataValidation>
  </dataValidations>
  <pageMargins left="0.7" right="0.7" top="0.75" bottom="0.75" header="0.3" footer="0.3"/>
  <pageSetup paperSize="9" orientation="portrait" verticalDpi="0" r:id="rId1"/>
  <ignoredErrors>
    <ignoredError sqref="B10" unlockedFormula="1"/>
    <ignoredError sqref="D8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28</vt:i4>
      </vt:variant>
    </vt:vector>
  </HeadingPairs>
  <TitlesOfParts>
    <vt:vector size="34" baseType="lpstr">
      <vt:lpstr>Dane podst. zamówienia</vt:lpstr>
      <vt:lpstr>ZAMÓWIENIE | WYCENA</vt:lpstr>
      <vt:lpstr>Specyfikacja</vt:lpstr>
      <vt:lpstr>Lista</vt:lpstr>
      <vt:lpstr>mapa</vt:lpstr>
      <vt:lpstr>Szacunek</vt:lpstr>
      <vt:lpstr>Estym_Bud1</vt:lpstr>
      <vt:lpstr>IL_PIONÓW_SPUSTOWYCH</vt:lpstr>
      <vt:lpstr>IL_POŁACI</vt:lpstr>
      <vt:lpstr>MODUŁ</vt:lpstr>
      <vt:lpstr>'Dane podst. zamówienia'!Obszar_wydruku</vt:lpstr>
      <vt:lpstr>Lista!Obszar_wydruku</vt:lpstr>
      <vt:lpstr>Specyfikacja!Obszar_wydruku</vt:lpstr>
      <vt:lpstr>'ZAMÓWIENIE | WYCENA'!Obszar_wydruku</vt:lpstr>
      <vt:lpstr>OKAP_WYKON</vt:lpstr>
      <vt:lpstr>PODBITKA_INNA</vt:lpstr>
      <vt:lpstr>PODBITKA_RĄBEK</vt:lpstr>
      <vt:lpstr>SZAC_PODKONSTR_ELEW</vt:lpstr>
      <vt:lpstr>SZER292</vt:lpstr>
      <vt:lpstr>SZER501</vt:lpstr>
      <vt:lpstr>TYP_BEZOKAPOWY</vt:lpstr>
      <vt:lpstr>TYP_DACHU</vt:lpstr>
      <vt:lpstr>TYP_OKAPOWY</vt:lpstr>
      <vt:lpstr>TYP_POKRYCIA</vt:lpstr>
      <vt:lpstr>Specyfikacja!Tytuły_wydruku</vt:lpstr>
      <vt:lpstr>WYKON_KALK</vt:lpstr>
      <vt:lpstr>WYMIAR</vt:lpstr>
      <vt:lpstr>Wymiar_A</vt:lpstr>
      <vt:lpstr>Wymiar_B0</vt:lpstr>
      <vt:lpstr>Wymiar_B1</vt:lpstr>
      <vt:lpstr>Wymiar_B2</vt:lpstr>
      <vt:lpstr>Wymiar_C</vt:lpstr>
      <vt:lpstr>Wymiar_E</vt:lpstr>
      <vt:lpstr>WYS_POŁACI</vt:lpstr>
    </vt:vector>
  </TitlesOfParts>
  <Company>Galeco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tpiotrowski</dc:creator>
  <cp:lastModifiedBy>Justyna Brzezińska</cp:lastModifiedBy>
  <cp:lastPrinted>2026-03-10T08:44:16Z</cp:lastPrinted>
  <dcterms:created xsi:type="dcterms:W3CDTF">2007-03-07T19:25:50Z</dcterms:created>
  <dcterms:modified xsi:type="dcterms:W3CDTF">2026-04-15T12:16:31Z</dcterms:modified>
</cp:coreProperties>
</file>